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fc6775f71e0635/デスクトップ/Excelによるアンケート分析/"/>
    </mc:Choice>
  </mc:AlternateContent>
  <xr:revisionPtr revIDLastSave="304" documentId="8_{6320B897-5ED9-4144-9C20-2DCFDDE7DA87}" xr6:coauthVersionLast="45" xr6:coauthVersionMax="45" xr10:uidLastSave="{23A29367-DBCD-45EE-BC82-5905121458FA}"/>
  <bookViews>
    <workbookView xWindow="-108" yWindow="-108" windowWidth="23256" windowHeight="12576" xr2:uid="{61ACB3F0-D757-4F29-87BD-C877FC5F355D}"/>
  </bookViews>
  <sheets>
    <sheet name="例題4-1(ｔ検定)" sheetId="1" r:id="rId1"/>
    <sheet name="例題4-1(Wilcoxonの順位和検定)" sheetId="8" r:id="rId2"/>
    <sheet name="例題4-2(対応のあるｔ検定)" sheetId="10" r:id="rId3"/>
    <sheet name="例題4-2(Wilcoxonの符号付順位検定)" sheetId="11" r:id="rId4"/>
    <sheet name="例題4-3" sheetId="12" r:id="rId5"/>
    <sheet name="例題4-4" sheetId="13" r:id="rId6"/>
    <sheet name="例題4-5" sheetId="14" r:id="rId7"/>
    <sheet name="例題4-6" sheetId="15" r:id="rId8"/>
    <sheet name="例題4-7" sheetId="16" r:id="rId9"/>
    <sheet name="例題4-8" sheetId="17" r:id="rId10"/>
    <sheet name="例題4-9" sheetId="18" r:id="rId11"/>
    <sheet name="例題4-10" sheetId="19" r:id="rId12"/>
    <sheet name="例題4-11" sheetId="20" r:id="rId13"/>
    <sheet name="(参考)Fisherの直接確率" sheetId="21" r:id="rId14"/>
    <sheet name="例題4-12(McNemar検定)" sheetId="22" r:id="rId15"/>
    <sheet name="例題4-12(二項検定)" sheetId="23" r:id="rId16"/>
    <sheet name="例題4-13" sheetId="24" r:id="rId17"/>
    <sheet name="例題4-14(2×M分割表)" sheetId="25" r:id="rId18"/>
    <sheet name="例題4-14(L×M分割表)" sheetId="26" r:id="rId19"/>
  </sheets>
  <externalReferences>
    <externalReference r:id="rId20"/>
    <externalReference r:id="rId21"/>
  </externalReferences>
  <definedNames>
    <definedName name="_xlnm._FilterDatabase" localSheetId="0" hidden="1">'例題4-1(ｔ検定)'!#REF!</definedName>
    <definedName name="_xlnm._FilterDatabase" localSheetId="1" hidden="1">'例題4-1(Wilcoxonの順位和検定)'!#REF!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26" l="1"/>
  <c r="D19" i="26"/>
  <c r="B19" i="26"/>
  <c r="B25" i="26"/>
  <c r="C22" i="26"/>
  <c r="B15" i="26"/>
  <c r="B17" i="26" s="1"/>
  <c r="B14" i="26"/>
  <c r="F13" i="26"/>
  <c r="E13" i="26"/>
  <c r="D13" i="26"/>
  <c r="C13" i="26"/>
  <c r="C14" i="26" s="1"/>
  <c r="B13" i="26"/>
  <c r="B22" i="26" s="1"/>
  <c r="B8" i="26"/>
  <c r="B12" i="26" s="1"/>
  <c r="B7" i="26"/>
  <c r="B11" i="26" s="1"/>
  <c r="B6" i="26"/>
  <c r="B9" i="26" s="1"/>
  <c r="D14" i="25"/>
  <c r="C14" i="25"/>
  <c r="D14" i="26" l="1"/>
  <c r="D15" i="26"/>
  <c r="C15" i="26"/>
  <c r="D22" i="26"/>
  <c r="B23" i="26" s="1"/>
  <c r="B16" i="26"/>
  <c r="E22" i="26"/>
  <c r="B10" i="26"/>
  <c r="F22" i="26"/>
  <c r="B18" i="26"/>
  <c r="F14" i="25"/>
  <c r="F10" i="25"/>
  <c r="E10" i="25"/>
  <c r="E14" i="25" s="1"/>
  <c r="D10" i="25"/>
  <c r="C10" i="25"/>
  <c r="C11" i="25" s="1"/>
  <c r="B10" i="25"/>
  <c r="B11" i="25" s="1"/>
  <c r="B6" i="25"/>
  <c r="B5" i="25"/>
  <c r="C23" i="24"/>
  <c r="E10" i="24"/>
  <c r="E29" i="24" s="1"/>
  <c r="E36" i="24" s="1"/>
  <c r="D10" i="24"/>
  <c r="D17" i="24" s="1"/>
  <c r="C10" i="24"/>
  <c r="C17" i="24" s="1"/>
  <c r="F6" i="24"/>
  <c r="E6" i="24"/>
  <c r="E13" i="24" s="1"/>
  <c r="D6" i="24"/>
  <c r="D13" i="24" s="1"/>
  <c r="C6" i="24"/>
  <c r="C13" i="24" s="1"/>
  <c r="B6" i="24"/>
  <c r="B12" i="24" s="1"/>
  <c r="F5" i="24"/>
  <c r="F4" i="24"/>
  <c r="D12" i="24" s="1"/>
  <c r="F3" i="24"/>
  <c r="F2" i="24"/>
  <c r="D13" i="23"/>
  <c r="D12" i="23"/>
  <c r="D11" i="23"/>
  <c r="C9" i="23"/>
  <c r="C8" i="23"/>
  <c r="C12" i="23" s="1"/>
  <c r="C7" i="23"/>
  <c r="C13" i="23" s="1"/>
  <c r="C4" i="23"/>
  <c r="G10" i="22"/>
  <c r="G9" i="22"/>
  <c r="G11" i="22" s="1"/>
  <c r="D5" i="22"/>
  <c r="C5" i="22"/>
  <c r="B5" i="22"/>
  <c r="D4" i="22"/>
  <c r="D3" i="22"/>
  <c r="B21" i="21"/>
  <c r="B20" i="21"/>
  <c r="C8" i="21"/>
  <c r="C18" i="21"/>
  <c r="C17" i="21"/>
  <c r="C16" i="21"/>
  <c r="C15" i="21"/>
  <c r="C14" i="21"/>
  <c r="C13" i="21"/>
  <c r="C12" i="21"/>
  <c r="C11" i="21"/>
  <c r="C10" i="21"/>
  <c r="C9" i="21"/>
  <c r="D5" i="21"/>
  <c r="C5" i="21"/>
  <c r="B5" i="21"/>
  <c r="D4" i="21"/>
  <c r="D3" i="21"/>
  <c r="D16" i="26" l="1"/>
  <c r="D17" i="26"/>
  <c r="D18" i="26"/>
  <c r="E14" i="26"/>
  <c r="C18" i="26"/>
  <c r="C16" i="26"/>
  <c r="C17" i="26"/>
  <c r="C12" i="25"/>
  <c r="C13" i="25" s="1"/>
  <c r="B12" i="25"/>
  <c r="B13" i="25" s="1"/>
  <c r="D11" i="25"/>
  <c r="B14" i="25"/>
  <c r="B7" i="25"/>
  <c r="B8" i="25"/>
  <c r="B19" i="24"/>
  <c r="B31" i="24"/>
  <c r="B38" i="24" s="1"/>
  <c r="D32" i="24"/>
  <c r="D39" i="24" s="1"/>
  <c r="D20" i="24"/>
  <c r="D19" i="24"/>
  <c r="D31" i="24"/>
  <c r="D38" i="24" s="1"/>
  <c r="E32" i="24"/>
  <c r="E39" i="24" s="1"/>
  <c r="E20" i="24"/>
  <c r="C32" i="24"/>
  <c r="C39" i="24" s="1"/>
  <c r="C20" i="24"/>
  <c r="C11" i="24"/>
  <c r="C29" i="24"/>
  <c r="C36" i="24" s="1"/>
  <c r="E17" i="24"/>
  <c r="B13" i="24"/>
  <c r="D11" i="24"/>
  <c r="D29" i="24"/>
  <c r="D36" i="24" s="1"/>
  <c r="E12" i="24"/>
  <c r="B11" i="24"/>
  <c r="E11" i="24"/>
  <c r="C12" i="24"/>
  <c r="B10" i="24"/>
  <c r="C11" i="23"/>
  <c r="G11" i="20"/>
  <c r="G10" i="20"/>
  <c r="G13" i="20" s="1"/>
  <c r="D5" i="20"/>
  <c r="G9" i="20" s="1"/>
  <c r="G12" i="20" s="1"/>
  <c r="C5" i="20"/>
  <c r="B5" i="20"/>
  <c r="D4" i="20"/>
  <c r="D3" i="20"/>
  <c r="F15" i="26" l="1"/>
  <c r="F14" i="26"/>
  <c r="E15" i="26"/>
  <c r="B9" i="25"/>
  <c r="B15" i="25"/>
  <c r="B18" i="25" s="1"/>
  <c r="E11" i="25"/>
  <c r="B17" i="25"/>
  <c r="D12" i="25"/>
  <c r="D13" i="25" s="1"/>
  <c r="C19" i="24"/>
  <c r="C31" i="24"/>
  <c r="C38" i="24" s="1"/>
  <c r="E30" i="24"/>
  <c r="E37" i="24" s="1"/>
  <c r="E18" i="24"/>
  <c r="C30" i="24"/>
  <c r="C37" i="24" s="1"/>
  <c r="C18" i="24"/>
  <c r="B30" i="24"/>
  <c r="B37" i="24" s="1"/>
  <c r="B18" i="24"/>
  <c r="E19" i="24"/>
  <c r="E31" i="24"/>
  <c r="E38" i="24" s="1"/>
  <c r="D30" i="24"/>
  <c r="D37" i="24" s="1"/>
  <c r="D18" i="24"/>
  <c r="B32" i="24"/>
  <c r="B39" i="24" s="1"/>
  <c r="B20" i="24"/>
  <c r="E25" i="24"/>
  <c r="B17" i="24"/>
  <c r="B29" i="24"/>
  <c r="B36" i="24" s="1"/>
  <c r="G3" i="16"/>
  <c r="G2" i="16"/>
  <c r="F9" i="19"/>
  <c r="D6" i="19"/>
  <c r="B6" i="19"/>
  <c r="C5" i="19"/>
  <c r="E5" i="19" s="1"/>
  <c r="F5" i="19" s="1"/>
  <c r="C4" i="19"/>
  <c r="E4" i="19" s="1"/>
  <c r="F4" i="19" s="1"/>
  <c r="C3" i="19"/>
  <c r="C6" i="19" s="1"/>
  <c r="E2" i="19"/>
  <c r="F2" i="19" s="1"/>
  <c r="C2" i="19"/>
  <c r="C10" i="18"/>
  <c r="C9" i="18"/>
  <c r="C8" i="18"/>
  <c r="C5" i="18"/>
  <c r="C7" i="18" s="1"/>
  <c r="D4" i="18"/>
  <c r="C4" i="18"/>
  <c r="C9" i="17"/>
  <c r="C8" i="17"/>
  <c r="C7" i="17"/>
  <c r="C4" i="17"/>
  <c r="C6" i="17" s="1"/>
  <c r="D3" i="17"/>
  <c r="C3" i="17"/>
  <c r="C9" i="16"/>
  <c r="C8" i="16"/>
  <c r="C13" i="16" s="1"/>
  <c r="C7" i="16"/>
  <c r="C12" i="16" s="1"/>
  <c r="C4" i="16"/>
  <c r="C3" i="16"/>
  <c r="C12" i="15"/>
  <c r="C11" i="15"/>
  <c r="C10" i="15"/>
  <c r="C6" i="15"/>
  <c r="C9" i="15" s="1"/>
  <c r="D5" i="15"/>
  <c r="C5" i="15"/>
  <c r="C7" i="15" s="1"/>
  <c r="D4" i="15"/>
  <c r="C4" i="15"/>
  <c r="C12" i="14"/>
  <c r="C11" i="14"/>
  <c r="C10" i="14"/>
  <c r="C6" i="14"/>
  <c r="D5" i="14"/>
  <c r="C7" i="14" s="1"/>
  <c r="C5" i="14"/>
  <c r="C9" i="14" s="1"/>
  <c r="D4" i="14"/>
  <c r="C4" i="14"/>
  <c r="C11" i="13"/>
  <c r="C13" i="13" s="1"/>
  <c r="C10" i="13"/>
  <c r="C9" i="13"/>
  <c r="C7" i="13"/>
  <c r="C4" i="13"/>
  <c r="C3" i="13"/>
  <c r="C6" i="13" s="1"/>
  <c r="C9" i="12"/>
  <c r="C8" i="12"/>
  <c r="C13" i="12" s="1"/>
  <c r="C7" i="12"/>
  <c r="C12" i="12" s="1"/>
  <c r="C4" i="12"/>
  <c r="C3" i="12"/>
  <c r="C21" i="11"/>
  <c r="G21" i="11" s="1"/>
  <c r="C20" i="11"/>
  <c r="D20" i="11" s="1"/>
  <c r="G19" i="11"/>
  <c r="D19" i="11"/>
  <c r="C19" i="11"/>
  <c r="G18" i="11"/>
  <c r="D18" i="11"/>
  <c r="C18" i="11"/>
  <c r="D17" i="11"/>
  <c r="C17" i="11"/>
  <c r="G17" i="11" s="1"/>
  <c r="F16" i="11"/>
  <c r="C16" i="11"/>
  <c r="D16" i="11" s="1"/>
  <c r="C15" i="11"/>
  <c r="D15" i="11" s="1"/>
  <c r="C14" i="11"/>
  <c r="G14" i="11" s="1"/>
  <c r="G13" i="11"/>
  <c r="C13" i="11"/>
  <c r="D13" i="11" s="1"/>
  <c r="C12" i="11"/>
  <c r="D12" i="11" s="1"/>
  <c r="D11" i="11"/>
  <c r="C11" i="11"/>
  <c r="F11" i="11" s="1"/>
  <c r="F10" i="11"/>
  <c r="D10" i="11"/>
  <c r="C10" i="11"/>
  <c r="D9" i="11"/>
  <c r="C9" i="11"/>
  <c r="G8" i="11"/>
  <c r="C8" i="11"/>
  <c r="D8" i="11" s="1"/>
  <c r="G7" i="11"/>
  <c r="D7" i="11"/>
  <c r="C7" i="11"/>
  <c r="C6" i="11"/>
  <c r="D6" i="11" s="1"/>
  <c r="C5" i="11"/>
  <c r="G5" i="11" s="1"/>
  <c r="F4" i="11"/>
  <c r="C4" i="11"/>
  <c r="D4" i="11" s="1"/>
  <c r="F3" i="11"/>
  <c r="D3" i="11"/>
  <c r="C3" i="11"/>
  <c r="C2" i="11"/>
  <c r="G10" i="10"/>
  <c r="G9" i="10"/>
  <c r="H4" i="10"/>
  <c r="G4" i="10"/>
  <c r="H3" i="10"/>
  <c r="G3" i="10"/>
  <c r="G5" i="10" s="1"/>
  <c r="H2" i="10"/>
  <c r="G2" i="10"/>
  <c r="F16" i="26" l="1"/>
  <c r="F17" i="26"/>
  <c r="F18" i="26"/>
  <c r="E18" i="26"/>
  <c r="E16" i="26"/>
  <c r="E17" i="26"/>
  <c r="F11" i="25"/>
  <c r="F12" i="25" s="1"/>
  <c r="F13" i="25" s="1"/>
  <c r="E12" i="25"/>
  <c r="E13" i="25" s="1"/>
  <c r="C22" i="24"/>
  <c r="C25" i="24" s="1"/>
  <c r="E3" i="19"/>
  <c r="F3" i="19" s="1"/>
  <c r="F8" i="19" s="1"/>
  <c r="F10" i="19" s="1"/>
  <c r="E6" i="19"/>
  <c r="C13" i="18"/>
  <c r="C12" i="18"/>
  <c r="C11" i="18"/>
  <c r="C12" i="17"/>
  <c r="C11" i="17"/>
  <c r="C10" i="17"/>
  <c r="C11" i="16"/>
  <c r="C18" i="15"/>
  <c r="C17" i="15"/>
  <c r="C15" i="15"/>
  <c r="C14" i="15"/>
  <c r="C13" i="15"/>
  <c r="C13" i="14"/>
  <c r="C14" i="14"/>
  <c r="C15" i="14"/>
  <c r="C8" i="13"/>
  <c r="C14" i="13" s="1"/>
  <c r="C11" i="12"/>
  <c r="F2" i="11"/>
  <c r="D5" i="11"/>
  <c r="E18" i="11" s="1"/>
  <c r="F18" i="11" s="1"/>
  <c r="D14" i="11"/>
  <c r="E14" i="11" s="1"/>
  <c r="F14" i="11" s="1"/>
  <c r="G15" i="11"/>
  <c r="G12" i="11"/>
  <c r="G20" i="11"/>
  <c r="G9" i="11"/>
  <c r="D2" i="11"/>
  <c r="E12" i="11" s="1"/>
  <c r="F12" i="11" s="1"/>
  <c r="G6" i="11"/>
  <c r="D21" i="11"/>
  <c r="E21" i="11" s="1"/>
  <c r="F21" i="11" s="1"/>
  <c r="B20" i="26" l="1"/>
  <c r="B21" i="26"/>
  <c r="D21" i="26" s="1"/>
  <c r="B16" i="25"/>
  <c r="B19" i="25" s="1"/>
  <c r="B20" i="25" s="1"/>
  <c r="B21" i="25" s="1"/>
  <c r="E8" i="11"/>
  <c r="F8" i="11" s="1"/>
  <c r="E10" i="11"/>
  <c r="G10" i="11" s="1"/>
  <c r="E7" i="11"/>
  <c r="F7" i="11" s="1"/>
  <c r="E15" i="11"/>
  <c r="F15" i="11" s="1"/>
  <c r="E5" i="11"/>
  <c r="F5" i="11" s="1"/>
  <c r="E20" i="11"/>
  <c r="F20" i="11" s="1"/>
  <c r="E9" i="11"/>
  <c r="F9" i="11" s="1"/>
  <c r="E16" i="11"/>
  <c r="G16" i="11" s="1"/>
  <c r="E4" i="11"/>
  <c r="G4" i="11" s="1"/>
  <c r="E6" i="11"/>
  <c r="F6" i="11" s="1"/>
  <c r="E3" i="11"/>
  <c r="G3" i="11" s="1"/>
  <c r="E13" i="11"/>
  <c r="F13" i="11" s="1"/>
  <c r="E11" i="11"/>
  <c r="G11" i="11" s="1"/>
  <c r="E2" i="11"/>
  <c r="E17" i="11"/>
  <c r="F17" i="11" s="1"/>
  <c r="I1" i="11" s="1"/>
  <c r="E19" i="11"/>
  <c r="F19" i="11" s="1"/>
  <c r="B24" i="26" l="1"/>
  <c r="B26" i="26" s="1"/>
  <c r="I4" i="11"/>
  <c r="G2" i="11"/>
  <c r="I2" i="11" s="1"/>
  <c r="I3" i="11" s="1"/>
  <c r="I5" i="11" s="1"/>
  <c r="I6" i="11" l="1"/>
  <c r="I7" i="11"/>
  <c r="G7" i="8" l="1"/>
  <c r="G6" i="8"/>
  <c r="G5" i="8"/>
  <c r="H4" i="8"/>
  <c r="G4" i="8"/>
  <c r="H3" i="8"/>
  <c r="G3" i="8"/>
  <c r="G2" i="8"/>
  <c r="H2" i="8"/>
  <c r="D21" i="8"/>
  <c r="C21" i="8"/>
  <c r="D20" i="8"/>
  <c r="C20" i="8"/>
  <c r="D19" i="8"/>
  <c r="C19" i="8"/>
  <c r="D18" i="8"/>
  <c r="C18" i="8"/>
  <c r="D17" i="8"/>
  <c r="C17" i="8"/>
  <c r="D16" i="8"/>
  <c r="C16" i="8"/>
  <c r="D15" i="8"/>
  <c r="C15" i="8"/>
  <c r="D14" i="8"/>
  <c r="C14" i="8"/>
  <c r="D13" i="8"/>
  <c r="C13" i="8"/>
  <c r="D12" i="8"/>
  <c r="C12" i="8"/>
  <c r="D11" i="8"/>
  <c r="C11" i="8"/>
  <c r="D10" i="8"/>
  <c r="C10" i="8"/>
  <c r="D9" i="8"/>
  <c r="C9" i="8"/>
  <c r="D8" i="8"/>
  <c r="C8" i="8"/>
  <c r="D7" i="8"/>
  <c r="C7" i="8"/>
  <c r="D6" i="8"/>
  <c r="C6" i="8"/>
  <c r="D5" i="8"/>
  <c r="C5" i="8"/>
  <c r="D4" i="8"/>
  <c r="C4" i="8"/>
  <c r="D3" i="8"/>
  <c r="C3" i="8"/>
  <c r="D2" i="8"/>
  <c r="C2" i="8"/>
  <c r="G16" i="1"/>
  <c r="G13" i="1"/>
  <c r="G12" i="1"/>
  <c r="G9" i="1"/>
  <c r="G10" i="1"/>
  <c r="G5" i="1"/>
  <c r="H4" i="1"/>
  <c r="G4" i="1"/>
  <c r="H3" i="1"/>
  <c r="G3" i="1"/>
  <c r="H2" i="1"/>
  <c r="G2" i="1"/>
</calcChain>
</file>

<file path=xl/sharedStrings.xml><?xml version="1.0" encoding="utf-8"?>
<sst xmlns="http://schemas.openxmlformats.org/spreadsheetml/2006/main" count="446" uniqueCount="189">
  <si>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</si>
  <si>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</si>
  <si>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</si>
  <si>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男</t>
  </si>
  <si>
    <t>男</t>
    <rPh sb="0" eb="1">
      <t>オトコ</t>
    </rPh>
    <phoneticPr fontId="1"/>
  </si>
  <si>
    <t>女</t>
  </si>
  <si>
    <t>女</t>
    <rPh sb="0" eb="1">
      <t>オンナ</t>
    </rPh>
    <phoneticPr fontId="1"/>
  </si>
  <si>
    <t>サンプルサイズ</t>
    <phoneticPr fontId="2"/>
  </si>
  <si>
    <t>平均値</t>
    <rPh sb="0" eb="3">
      <t>ヘイキンチ</t>
    </rPh>
    <phoneticPr fontId="2"/>
  </si>
  <si>
    <t>標準偏差</t>
    <rPh sb="0" eb="2">
      <t>ヒョウジュン</t>
    </rPh>
    <rPh sb="2" eb="4">
      <t>ヘンサ</t>
    </rPh>
    <phoneticPr fontId="2"/>
  </si>
  <si>
    <t>平均値の差</t>
    <rPh sb="0" eb="3">
      <t>ヘイキンチ</t>
    </rPh>
    <rPh sb="4" eb="5">
      <t>サ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</si>
  <si>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</si>
  <si>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</si>
  <si>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ｔ検定の結果</t>
    <rPh sb="1" eb="3">
      <t>ケンテイ</t>
    </rPh>
    <rPh sb="4" eb="6">
      <t>ケッカ</t>
    </rPh>
    <phoneticPr fontId="2"/>
  </si>
  <si>
    <t>&lt;&lt;等分散を仮定した場合&gt;&gt;</t>
    <rPh sb="2" eb="5">
      <t>トウブンサン</t>
    </rPh>
    <rPh sb="6" eb="8">
      <t>カテイ</t>
    </rPh>
    <rPh sb="10" eb="12">
      <t>バアイ</t>
    </rPh>
    <phoneticPr fontId="2"/>
  </si>
  <si>
    <t>有意確率（両側）</t>
    <rPh sb="0" eb="2">
      <t>ユウイ</t>
    </rPh>
    <rPh sb="2" eb="4">
      <t>カクリツ</t>
    </rPh>
    <rPh sb="5" eb="7">
      <t>リョウガワ</t>
    </rPh>
    <phoneticPr fontId="2"/>
  </si>
  <si>
    <t>有意確率（片側）</t>
    <rPh sb="0" eb="2">
      <t>ユウイ</t>
    </rPh>
    <rPh sb="2" eb="4">
      <t>カクリツ</t>
    </rPh>
    <rPh sb="5" eb="7">
      <t>カタガワ</t>
    </rPh>
    <phoneticPr fontId="2"/>
  </si>
  <si>
    <t>&lt;&lt;等分散を仮定しない場合&gt;&gt;</t>
    <rPh sb="2" eb="5">
      <t>トウブンサン</t>
    </rPh>
    <rPh sb="6" eb="8">
      <t>カテイ</t>
    </rPh>
    <rPh sb="11" eb="13">
      <t>バアイ</t>
    </rPh>
    <phoneticPr fontId="2"/>
  </si>
  <si>
    <t>F検定の結果</t>
    <rPh sb="1" eb="3">
      <t>ケンテイ</t>
    </rPh>
    <rPh sb="4" eb="6">
      <t>ケッカ</t>
    </rPh>
    <phoneticPr fontId="2"/>
  </si>
  <si>
    <t>男：順位</t>
    <rPh sb="0" eb="1">
      <t>オトコ</t>
    </rPh>
    <rPh sb="2" eb="4">
      <t>ジュンイ</t>
    </rPh>
    <phoneticPr fontId="2"/>
  </si>
  <si>
    <t>女：順位</t>
    <rPh sb="0" eb="1">
      <t>オンナ</t>
    </rPh>
    <rPh sb="2" eb="4">
      <t>ジュンイ</t>
    </rPh>
    <phoneticPr fontId="2"/>
  </si>
  <si>
    <t>順位和</t>
    <rPh sb="0" eb="2">
      <t>ジュンイ</t>
    </rPh>
    <rPh sb="2" eb="3">
      <t>ワ</t>
    </rPh>
    <phoneticPr fontId="2"/>
  </si>
  <si>
    <t>平均順位和</t>
    <rPh sb="0" eb="2">
      <t>ヘイキン</t>
    </rPh>
    <rPh sb="2" eb="4">
      <t>ジュンイ</t>
    </rPh>
    <rPh sb="4" eb="5">
      <t>ワ</t>
    </rPh>
    <phoneticPr fontId="2"/>
  </si>
  <si>
    <t>検定統計量</t>
    <rPh sb="0" eb="2">
      <t>ケンテイ</t>
    </rPh>
    <rPh sb="2" eb="5">
      <t>トウケイリョウ</t>
    </rPh>
    <phoneticPr fontId="2"/>
  </si>
  <si>
    <t>有意確率（片側）</t>
    <rPh sb="0" eb="2">
      <t>ユウイ</t>
    </rPh>
    <rPh sb="2" eb="4">
      <t>カクリツ</t>
    </rPh>
    <rPh sb="5" eb="7">
      <t>カタガワ</t>
    </rPh>
    <phoneticPr fontId="2"/>
  </si>
  <si>
    <t>有意確率（両側）</t>
    <rPh sb="0" eb="2">
      <t>ユウイ</t>
    </rPh>
    <rPh sb="2" eb="4">
      <t>カクリツ</t>
    </rPh>
    <rPh sb="5" eb="7">
      <t>リョウガワ</t>
    </rPh>
    <phoneticPr fontId="2"/>
  </si>
  <si>
    <t>昨年</t>
  </si>
  <si>
    <t>今年</t>
  </si>
  <si>
    <t>サンプルサイズ</t>
    <phoneticPr fontId="2"/>
  </si>
  <si>
    <t>平均値</t>
    <rPh sb="0" eb="3">
      <t>ヘイキンチ</t>
    </rPh>
    <phoneticPr fontId="2"/>
  </si>
  <si>
    <t>標準偏差</t>
    <rPh sb="0" eb="2">
      <t>ヒョウジュン</t>
    </rPh>
    <rPh sb="2" eb="4">
      <t>ヘンサ</t>
    </rPh>
    <phoneticPr fontId="2"/>
  </si>
  <si>
    <t>平均値の差</t>
    <rPh sb="0" eb="3">
      <t>ヘイキンチ</t>
    </rPh>
    <rPh sb="4" eb="5">
      <t>サ</t>
    </rPh>
    <phoneticPr fontId="2"/>
  </si>
  <si>
    <t>対応のある平均値の差の検定（t検定）</t>
    <rPh sb="0" eb="2">
      <t>タイオウ</t>
    </rPh>
    <rPh sb="5" eb="8">
      <t>ヘイキンチ</t>
    </rPh>
    <rPh sb="9" eb="10">
      <t>サ</t>
    </rPh>
    <rPh sb="11" eb="13">
      <t>ケンテイ</t>
    </rPh>
    <rPh sb="15" eb="17">
      <t>ケンテイ</t>
    </rPh>
    <phoneticPr fontId="2"/>
  </si>
  <si>
    <t>有意確率（片側）</t>
    <rPh sb="0" eb="2">
      <t>ユウイ</t>
    </rPh>
    <rPh sb="2" eb="4">
      <t>カクリツ</t>
    </rPh>
    <rPh sb="5" eb="7">
      <t>カタガワ</t>
    </rPh>
    <rPh sb="6" eb="7">
      <t>ガワ</t>
    </rPh>
    <phoneticPr fontId="2"/>
  </si>
  <si>
    <t>今年－昨年</t>
    <rPh sb="0" eb="2">
      <t>コトシ</t>
    </rPh>
    <rPh sb="3" eb="5">
      <t>サクネン</t>
    </rPh>
    <phoneticPr fontId="2"/>
  </si>
  <si>
    <t>絶対値</t>
    <rPh sb="0" eb="3">
      <t>ゼッタイチ</t>
    </rPh>
    <phoneticPr fontId="2"/>
  </si>
  <si>
    <t>順位値</t>
    <rPh sb="0" eb="2">
      <t>ジュンイ</t>
    </rPh>
    <rPh sb="2" eb="3">
      <t>アタイ</t>
    </rPh>
    <phoneticPr fontId="2"/>
  </si>
  <si>
    <t>計算用1</t>
    <rPh sb="0" eb="3">
      <t>ケイサンヨウ</t>
    </rPh>
    <phoneticPr fontId="2"/>
  </si>
  <si>
    <t>計算用2</t>
    <rPh sb="0" eb="3">
      <t>ケイサンヨウ</t>
    </rPh>
    <phoneticPr fontId="2"/>
  </si>
  <si>
    <t>正の順位和</t>
    <rPh sb="0" eb="1">
      <t>セイ</t>
    </rPh>
    <rPh sb="2" eb="4">
      <t>ジュンイ</t>
    </rPh>
    <rPh sb="4" eb="5">
      <t>ワ</t>
    </rPh>
    <phoneticPr fontId="2"/>
  </si>
  <si>
    <t>負の順位和</t>
    <rPh sb="0" eb="1">
      <t>フ</t>
    </rPh>
    <rPh sb="2" eb="4">
      <t>ジュンイ</t>
    </rPh>
    <rPh sb="4" eb="5">
      <t>ワ</t>
    </rPh>
    <phoneticPr fontId="2"/>
  </si>
  <si>
    <t>順位和</t>
    <rPh sb="0" eb="2">
      <t>ジュンイ</t>
    </rPh>
    <rPh sb="2" eb="3">
      <t>ワ</t>
    </rPh>
    <phoneticPr fontId="2"/>
  </si>
  <si>
    <t>ペア数</t>
    <rPh sb="2" eb="3">
      <t>スウ</t>
    </rPh>
    <phoneticPr fontId="2"/>
  </si>
  <si>
    <t>n</t>
    <phoneticPr fontId="2"/>
  </si>
  <si>
    <t>出現数</t>
    <rPh sb="0" eb="2">
      <t>シュツゲン</t>
    </rPh>
    <rPh sb="2" eb="3">
      <t>スウ</t>
    </rPh>
    <phoneticPr fontId="2"/>
  </si>
  <si>
    <t>m</t>
    <phoneticPr fontId="2"/>
  </si>
  <si>
    <t>非出現数</t>
    <rPh sb="0" eb="1">
      <t>ヒ</t>
    </rPh>
    <rPh sb="1" eb="3">
      <t>シュツゲン</t>
    </rPh>
    <rPh sb="3" eb="4">
      <t>スウ</t>
    </rPh>
    <phoneticPr fontId="2"/>
  </si>
  <si>
    <r>
      <rPr>
        <i/>
        <sz val="11"/>
        <color theme="1"/>
        <rFont val="Times New Roman"/>
        <family val="1"/>
      </rPr>
      <t>n</t>
    </r>
    <r>
      <rPr>
        <sz val="11"/>
        <color theme="1"/>
        <rFont val="游ゴシック"/>
        <family val="1"/>
        <scheme val="minor"/>
      </rPr>
      <t>ー</t>
    </r>
    <r>
      <rPr>
        <i/>
        <sz val="11"/>
        <color theme="1"/>
        <rFont val="Times New Roman"/>
        <family val="1"/>
      </rPr>
      <t>m</t>
    </r>
    <phoneticPr fontId="2"/>
  </si>
  <si>
    <t>比率</t>
    <rPh sb="0" eb="2">
      <t>ヒリツ</t>
    </rPh>
    <phoneticPr fontId="2"/>
  </si>
  <si>
    <r>
      <rPr>
        <i/>
        <sz val="11"/>
        <color theme="1"/>
        <rFont val="Times New Roman"/>
        <family val="1"/>
      </rPr>
      <t>π</t>
    </r>
    <r>
      <rPr>
        <vertAlign val="superscript"/>
        <sz val="11"/>
        <color theme="1"/>
        <rFont val="Times New Roman"/>
        <family val="1"/>
      </rPr>
      <t>^</t>
    </r>
    <phoneticPr fontId="2"/>
  </si>
  <si>
    <t>仮説の値</t>
    <rPh sb="0" eb="2">
      <t>カセツ</t>
    </rPh>
    <rPh sb="3" eb="4">
      <t>アタイ</t>
    </rPh>
    <phoneticPr fontId="2"/>
  </si>
  <si>
    <r>
      <rPr>
        <i/>
        <sz val="11"/>
        <color theme="1"/>
        <rFont val="Times New Roman"/>
        <family val="1"/>
      </rPr>
      <t>π</t>
    </r>
    <r>
      <rPr>
        <vertAlign val="subscript"/>
        <sz val="11"/>
        <color theme="1"/>
        <rFont val="Times New Roman"/>
        <family val="1"/>
      </rPr>
      <t>0</t>
    </r>
    <phoneticPr fontId="2"/>
  </si>
  <si>
    <t>有意水準</t>
    <rPh sb="0" eb="2">
      <t>ユウイ</t>
    </rPh>
    <rPh sb="2" eb="4">
      <t>スイジュン</t>
    </rPh>
    <phoneticPr fontId="2"/>
  </si>
  <si>
    <t>α</t>
    <phoneticPr fontId="2"/>
  </si>
  <si>
    <t>発生確率</t>
    <rPh sb="0" eb="2">
      <t>ハッセイ</t>
    </rPh>
    <rPh sb="2" eb="4">
      <t>カクリツ</t>
    </rPh>
    <phoneticPr fontId="2"/>
  </si>
  <si>
    <r>
      <rPr>
        <sz val="11"/>
        <color theme="1"/>
        <rFont val="Times New Roman"/>
        <family val="1"/>
      </rPr>
      <t>Pr</t>
    </r>
    <r>
      <rPr>
        <sz val="11"/>
        <color theme="1"/>
        <rFont val="游ゴシック"/>
        <family val="2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2"/>
        <charset val="128"/>
        <scheme val="minor"/>
      </rPr>
      <t>&gt;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2"/>
        <charset val="128"/>
        <scheme val="minor"/>
      </rPr>
      <t>)</t>
    </r>
  </si>
  <si>
    <r>
      <rPr>
        <sz val="11"/>
        <color theme="1"/>
        <rFont val="Times New Roman"/>
        <family val="1"/>
      </rPr>
      <t>Pr</t>
    </r>
    <r>
      <rPr>
        <sz val="11"/>
        <color theme="1"/>
        <rFont val="游ゴシック"/>
        <family val="2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1"/>
        <scheme val="minor"/>
      </rPr>
      <t>＝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2"/>
        <charset val="128"/>
        <scheme val="minor"/>
      </rPr>
      <t>)</t>
    </r>
    <phoneticPr fontId="2"/>
  </si>
  <si>
    <r>
      <rPr>
        <sz val="11"/>
        <color theme="1"/>
        <rFont val="Times New Roman"/>
        <family val="1"/>
      </rPr>
      <t>Pr</t>
    </r>
    <r>
      <rPr>
        <sz val="11"/>
        <color theme="1"/>
        <rFont val="游ゴシック"/>
        <family val="2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2"/>
        <charset val="128"/>
        <scheme val="minor"/>
      </rPr>
      <t>＜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2"/>
        <charset val="128"/>
        <scheme val="minor"/>
      </rPr>
      <t>)</t>
    </r>
    <phoneticPr fontId="2"/>
  </si>
  <si>
    <t>有意確率(両側)</t>
    <rPh sb="0" eb="2">
      <t>ユウイ</t>
    </rPh>
    <rPh sb="2" eb="4">
      <t>カクリツ</t>
    </rPh>
    <rPh sb="5" eb="7">
      <t>リョウガワ</t>
    </rPh>
    <phoneticPr fontId="2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</si>
  <si>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游ゴシック"/>
        <family val="2"/>
        <charset val="128"/>
        <scheme val="minor"/>
      </rPr>
      <t>値</t>
    </r>
    <rPh sb="1" eb="2">
      <t>チ</t>
    </rPh>
    <phoneticPr fontId="2"/>
  </si>
  <si>
    <t>有意確率(片側)：上</t>
    <rPh sb="0" eb="2">
      <t>ユウイ</t>
    </rPh>
    <rPh sb="2" eb="4">
      <t>カクリツ</t>
    </rPh>
    <rPh sb="5" eb="7">
      <t>カタガワ</t>
    </rPh>
    <rPh sb="9" eb="10">
      <t>ウエ</t>
    </rPh>
    <phoneticPr fontId="2"/>
  </si>
  <si>
    <t>有意確率(片側)：下</t>
    <rPh sb="0" eb="2">
      <t>ユウイ</t>
    </rPh>
    <rPh sb="2" eb="4">
      <t>カクリツ</t>
    </rPh>
    <rPh sb="5" eb="7">
      <t>カタガワ</t>
    </rPh>
    <rPh sb="9" eb="10">
      <t>シタ</t>
    </rPh>
    <phoneticPr fontId="2"/>
  </si>
  <si>
    <r>
      <rPr>
        <i/>
        <sz val="11"/>
        <rFont val="Times New Roman"/>
        <family val="1"/>
      </rPr>
      <t>n</t>
    </r>
    <r>
      <rPr>
        <sz val="11"/>
        <rFont val="游ゴシック"/>
        <family val="1"/>
        <scheme val="minor"/>
      </rPr>
      <t>ー</t>
    </r>
    <r>
      <rPr>
        <i/>
        <sz val="11"/>
        <rFont val="Times New Roman"/>
        <family val="1"/>
      </rPr>
      <t>m</t>
    </r>
    <phoneticPr fontId="2"/>
  </si>
  <si>
    <r>
      <rPr>
        <i/>
        <sz val="11"/>
        <rFont val="Times New Roman"/>
        <family val="1"/>
      </rPr>
      <t>π</t>
    </r>
    <r>
      <rPr>
        <vertAlign val="superscript"/>
        <sz val="11"/>
        <rFont val="Times New Roman"/>
        <family val="1"/>
      </rPr>
      <t>^</t>
    </r>
    <phoneticPr fontId="2"/>
  </si>
  <si>
    <t>信頼率</t>
    <rPh sb="0" eb="2">
      <t>シンライ</t>
    </rPh>
    <rPh sb="2" eb="3">
      <t>リツ</t>
    </rPh>
    <phoneticPr fontId="2"/>
  </si>
  <si>
    <r>
      <t>1ー</t>
    </r>
    <r>
      <rPr>
        <i/>
        <sz val="11"/>
        <rFont val="Times New Roman"/>
        <family val="1"/>
      </rPr>
      <t>α</t>
    </r>
    <phoneticPr fontId="2"/>
  </si>
  <si>
    <t>第1自由度</t>
    <rPh sb="0" eb="1">
      <t>ダイ</t>
    </rPh>
    <rPh sb="2" eb="5">
      <t>ジユウド</t>
    </rPh>
    <phoneticPr fontId="2"/>
  </si>
  <si>
    <t>a</t>
    <phoneticPr fontId="2"/>
  </si>
  <si>
    <t>第2自由度</t>
    <rPh sb="0" eb="1">
      <t>ダイ</t>
    </rPh>
    <rPh sb="2" eb="5">
      <t>ジユウド</t>
    </rPh>
    <phoneticPr fontId="2"/>
  </si>
  <si>
    <t>b</t>
    <phoneticPr fontId="2"/>
  </si>
  <si>
    <t>F分布の%点</t>
    <rPh sb="1" eb="3">
      <t>ブンプ</t>
    </rPh>
    <rPh sb="5" eb="6">
      <t>テン</t>
    </rPh>
    <phoneticPr fontId="2"/>
  </si>
  <si>
    <r>
      <rPr>
        <sz val="11"/>
        <rFont val="Times New Roman"/>
        <family val="1"/>
      </rPr>
      <t>F</t>
    </r>
    <r>
      <rPr>
        <sz val="11"/>
        <rFont val="游ゴシック"/>
        <family val="2"/>
        <charset val="128"/>
        <scheme val="minor"/>
      </rPr>
      <t>(</t>
    </r>
    <r>
      <rPr>
        <i/>
        <sz val="11"/>
        <rFont val="Times New Roman"/>
        <family val="1"/>
      </rPr>
      <t>a</t>
    </r>
    <r>
      <rPr>
        <i/>
        <sz val="11"/>
        <rFont val="游ゴシック"/>
        <family val="1"/>
        <scheme val="minor"/>
      </rPr>
      <t>,</t>
    </r>
    <r>
      <rPr>
        <i/>
        <sz val="11"/>
        <rFont val="Times New Roman"/>
        <family val="1"/>
      </rPr>
      <t>b</t>
    </r>
    <r>
      <rPr>
        <sz val="11"/>
        <rFont val="游ゴシック"/>
        <family val="3"/>
        <charset val="128"/>
      </rPr>
      <t>；</t>
    </r>
    <r>
      <rPr>
        <i/>
        <sz val="11"/>
        <rFont val="Times New Roman"/>
        <family val="1"/>
      </rPr>
      <t>a</t>
    </r>
    <r>
      <rPr>
        <sz val="11"/>
        <rFont val="游ゴシック"/>
        <family val="3"/>
        <charset val="128"/>
      </rPr>
      <t>/2</t>
    </r>
    <r>
      <rPr>
        <sz val="11"/>
        <rFont val="游ゴシック"/>
        <family val="2"/>
        <charset val="128"/>
        <scheme val="minor"/>
      </rPr>
      <t>)</t>
    </r>
    <phoneticPr fontId="2"/>
  </si>
  <si>
    <t>c</t>
    <phoneticPr fontId="2"/>
  </si>
  <si>
    <t>d</t>
    <phoneticPr fontId="2"/>
  </si>
  <si>
    <r>
      <rPr>
        <sz val="11"/>
        <rFont val="Times New Roman"/>
        <family val="1"/>
      </rPr>
      <t>F</t>
    </r>
    <r>
      <rPr>
        <sz val="11"/>
        <rFont val="游ゴシック"/>
        <family val="2"/>
        <charset val="128"/>
        <scheme val="minor"/>
      </rPr>
      <t>(</t>
    </r>
    <r>
      <rPr>
        <i/>
        <sz val="11"/>
        <rFont val="Times New Roman"/>
        <family val="1"/>
      </rPr>
      <t>c</t>
    </r>
    <r>
      <rPr>
        <i/>
        <sz val="11"/>
        <rFont val="游ゴシック"/>
        <family val="1"/>
        <scheme val="minor"/>
      </rPr>
      <t>,</t>
    </r>
    <r>
      <rPr>
        <i/>
        <sz val="11"/>
        <rFont val="Times New Roman"/>
        <family val="1"/>
      </rPr>
      <t>d</t>
    </r>
    <r>
      <rPr>
        <sz val="11"/>
        <rFont val="游ゴシック"/>
        <family val="3"/>
        <charset val="128"/>
      </rPr>
      <t>；</t>
    </r>
    <r>
      <rPr>
        <i/>
        <sz val="11"/>
        <rFont val="Times New Roman"/>
        <family val="1"/>
      </rPr>
      <t>a</t>
    </r>
    <r>
      <rPr>
        <sz val="11"/>
        <rFont val="游ゴシック"/>
        <family val="3"/>
        <charset val="128"/>
      </rPr>
      <t>/2</t>
    </r>
    <r>
      <rPr>
        <sz val="11"/>
        <rFont val="游ゴシック"/>
        <family val="2"/>
        <charset val="128"/>
        <scheme val="minor"/>
      </rPr>
      <t>)</t>
    </r>
  </si>
  <si>
    <t>信頼上限</t>
    <rPh sb="0" eb="2">
      <t>シンライ</t>
    </rPh>
    <rPh sb="2" eb="4">
      <t>ジョウゲン</t>
    </rPh>
    <phoneticPr fontId="2"/>
  </si>
  <si>
    <r>
      <rPr>
        <i/>
        <sz val="11"/>
        <rFont val="Times New Roman"/>
        <family val="1"/>
      </rPr>
      <t>π</t>
    </r>
    <r>
      <rPr>
        <vertAlign val="subscript"/>
        <sz val="11"/>
        <rFont val="Times New Roman"/>
        <family val="1"/>
      </rPr>
      <t>u</t>
    </r>
    <phoneticPr fontId="2"/>
  </si>
  <si>
    <t>信頼下限</t>
    <rPh sb="0" eb="2">
      <t>シンライ</t>
    </rPh>
    <rPh sb="2" eb="4">
      <t>カゲン</t>
    </rPh>
    <phoneticPr fontId="2"/>
  </si>
  <si>
    <r>
      <rPr>
        <i/>
        <sz val="11"/>
        <rFont val="Times New Roman"/>
        <family val="1"/>
      </rPr>
      <t>π</t>
    </r>
    <r>
      <rPr>
        <vertAlign val="subscript"/>
        <sz val="11"/>
        <rFont val="Times New Roman"/>
        <family val="1"/>
      </rPr>
      <t>L</t>
    </r>
    <phoneticPr fontId="2"/>
  </si>
  <si>
    <t>A</t>
    <phoneticPr fontId="2"/>
  </si>
  <si>
    <t>B</t>
    <phoneticPr fontId="2"/>
  </si>
  <si>
    <t>平均比率</t>
    <rPh sb="0" eb="2">
      <t>ヘイキン</t>
    </rPh>
    <rPh sb="2" eb="4">
      <t>ヒリツ</t>
    </rPh>
    <phoneticPr fontId="2"/>
  </si>
  <si>
    <t>比率の差</t>
    <rPh sb="0" eb="2">
      <t>ヒリツ</t>
    </rPh>
    <rPh sb="3" eb="4">
      <t>サ</t>
    </rPh>
    <phoneticPr fontId="2"/>
  </si>
  <si>
    <r>
      <rPr>
        <i/>
        <sz val="11"/>
        <rFont val="Times New Roman"/>
        <family val="1"/>
      </rPr>
      <t>π</t>
    </r>
    <r>
      <rPr>
        <vertAlign val="superscript"/>
        <sz val="11"/>
        <rFont val="Times New Roman"/>
        <family val="1"/>
      </rPr>
      <t>^</t>
    </r>
    <r>
      <rPr>
        <vertAlign val="subscript"/>
        <sz val="11"/>
        <rFont val="Times New Roman"/>
        <family val="1"/>
      </rPr>
      <t>A</t>
    </r>
    <r>
      <rPr>
        <sz val="11"/>
        <rFont val="游ゴシック"/>
        <family val="3"/>
        <charset val="128"/>
        <scheme val="minor"/>
      </rPr>
      <t>ー</t>
    </r>
    <r>
      <rPr>
        <i/>
        <sz val="11"/>
        <rFont val="Times New Roman"/>
        <family val="1"/>
      </rPr>
      <t>π</t>
    </r>
    <r>
      <rPr>
        <sz val="11"/>
        <rFont val="Times New Roman"/>
        <family val="1"/>
      </rPr>
      <t>^</t>
    </r>
    <r>
      <rPr>
        <vertAlign val="subscript"/>
        <sz val="11"/>
        <rFont val="Times New Roman"/>
        <family val="1"/>
      </rPr>
      <t>B</t>
    </r>
    <phoneticPr fontId="2"/>
  </si>
  <si>
    <t>有意水準</t>
    <rPh sb="0" eb="4">
      <t>ユウイスイジュン</t>
    </rPh>
    <phoneticPr fontId="2"/>
  </si>
  <si>
    <r>
      <rPr>
        <i/>
        <sz val="11"/>
        <color theme="1"/>
        <rFont val="Times New Roman"/>
        <family val="1"/>
      </rPr>
      <t>u</t>
    </r>
    <r>
      <rPr>
        <sz val="11"/>
        <color theme="1"/>
        <rFont val="游ゴシック"/>
        <family val="2"/>
        <charset val="128"/>
        <scheme val="minor"/>
      </rPr>
      <t>値</t>
    </r>
  </si>
  <si>
    <t>棄却値(両側)</t>
    <rPh sb="0" eb="2">
      <t>キキャク</t>
    </rPh>
    <rPh sb="2" eb="3">
      <t>アタイ</t>
    </rPh>
    <rPh sb="4" eb="6">
      <t>リョウガワ</t>
    </rPh>
    <phoneticPr fontId="2"/>
  </si>
  <si>
    <r>
      <rPr>
        <i/>
        <sz val="11"/>
        <rFont val="Times New Roman"/>
        <family val="1"/>
      </rPr>
      <t>u</t>
    </r>
    <r>
      <rPr>
        <sz val="11"/>
        <rFont val="游ゴシック"/>
        <family val="2"/>
        <charset val="128"/>
        <scheme val="minor"/>
      </rPr>
      <t>(</t>
    </r>
    <r>
      <rPr>
        <i/>
        <sz val="11"/>
        <rFont val="Times New Roman"/>
        <family val="1"/>
      </rPr>
      <t>α</t>
    </r>
    <r>
      <rPr>
        <sz val="11"/>
        <rFont val="游ゴシック"/>
        <family val="3"/>
        <charset val="128"/>
      </rPr>
      <t>/2</t>
    </r>
    <r>
      <rPr>
        <sz val="11"/>
        <rFont val="游ゴシック"/>
        <family val="2"/>
        <charset val="128"/>
        <scheme val="minor"/>
      </rPr>
      <t>)</t>
    </r>
    <phoneticPr fontId="2"/>
  </si>
  <si>
    <t>棄却値(片側)；上</t>
    <rPh sb="0" eb="2">
      <t>キキャク</t>
    </rPh>
    <rPh sb="2" eb="3">
      <t>アタイ</t>
    </rPh>
    <rPh sb="4" eb="6">
      <t>カタガワ</t>
    </rPh>
    <rPh sb="8" eb="9">
      <t>ウエ</t>
    </rPh>
    <phoneticPr fontId="2"/>
  </si>
  <si>
    <r>
      <rPr>
        <i/>
        <sz val="11"/>
        <rFont val="Times New Roman"/>
        <family val="1"/>
      </rPr>
      <t>u</t>
    </r>
    <r>
      <rPr>
        <sz val="11"/>
        <rFont val="游ゴシック"/>
        <family val="2"/>
        <charset val="128"/>
        <scheme val="minor"/>
      </rPr>
      <t>(</t>
    </r>
    <r>
      <rPr>
        <i/>
        <sz val="11"/>
        <rFont val="Times New Roman"/>
        <family val="1"/>
      </rPr>
      <t>α</t>
    </r>
    <r>
      <rPr>
        <sz val="11"/>
        <rFont val="游ゴシック"/>
        <family val="2"/>
        <charset val="128"/>
        <scheme val="minor"/>
      </rPr>
      <t>)</t>
    </r>
    <phoneticPr fontId="2"/>
  </si>
  <si>
    <t>棄却値(片側)；下</t>
    <rPh sb="0" eb="2">
      <t>キキャク</t>
    </rPh>
    <rPh sb="2" eb="3">
      <t>アタイ</t>
    </rPh>
    <rPh sb="4" eb="6">
      <t>カタガワ</t>
    </rPh>
    <rPh sb="8" eb="9">
      <t>シタ</t>
    </rPh>
    <phoneticPr fontId="2"/>
  </si>
  <si>
    <r>
      <t>ー</t>
    </r>
    <r>
      <rPr>
        <i/>
        <sz val="11"/>
        <rFont val="Times New Roman"/>
        <family val="1"/>
      </rPr>
      <t>u</t>
    </r>
    <r>
      <rPr>
        <sz val="11"/>
        <rFont val="游ゴシック"/>
        <family val="2"/>
        <charset val="128"/>
        <scheme val="minor"/>
      </rPr>
      <t>(</t>
    </r>
    <r>
      <rPr>
        <i/>
        <sz val="11"/>
        <rFont val="Times New Roman"/>
        <family val="1"/>
      </rPr>
      <t>α</t>
    </r>
    <r>
      <rPr>
        <sz val="11"/>
        <rFont val="游ゴシック"/>
        <family val="2"/>
        <charset val="128"/>
        <scheme val="minor"/>
      </rPr>
      <t>)</t>
    </r>
    <phoneticPr fontId="2"/>
  </si>
  <si>
    <t>有意確率(片側)；上</t>
    <rPh sb="0" eb="2">
      <t>ユウイ</t>
    </rPh>
    <rPh sb="2" eb="4">
      <t>カクリツ</t>
    </rPh>
    <rPh sb="5" eb="7">
      <t>カタガワ</t>
    </rPh>
    <rPh sb="9" eb="10">
      <t>ウエ</t>
    </rPh>
    <phoneticPr fontId="2"/>
  </si>
  <si>
    <t>有意確率(片側)；下</t>
    <rPh sb="0" eb="2">
      <t>ユウイ</t>
    </rPh>
    <rPh sb="2" eb="4">
      <t>カクリツ</t>
    </rPh>
    <rPh sb="5" eb="7">
      <t>カタガワ</t>
    </rPh>
    <rPh sb="9" eb="10">
      <t>シタ</t>
    </rPh>
    <phoneticPr fontId="2"/>
  </si>
  <si>
    <t>全体</t>
    <rPh sb="0" eb="2">
      <t>ゼンタイ</t>
    </rPh>
    <phoneticPr fontId="2"/>
  </si>
  <si>
    <t>一部</t>
    <rPh sb="0" eb="2">
      <t>イチブ</t>
    </rPh>
    <phoneticPr fontId="2"/>
  </si>
  <si>
    <r>
      <rPr>
        <i/>
        <sz val="11"/>
        <rFont val="Times New Roman"/>
        <family val="1"/>
      </rPr>
      <t>π</t>
    </r>
    <r>
      <rPr>
        <vertAlign val="superscript"/>
        <sz val="11"/>
        <rFont val="Times New Roman"/>
        <family val="1"/>
      </rPr>
      <t>^</t>
    </r>
    <r>
      <rPr>
        <sz val="11"/>
        <rFont val="游ゴシック"/>
        <family val="3"/>
        <charset val="128"/>
        <scheme val="minor"/>
      </rPr>
      <t>ー</t>
    </r>
    <r>
      <rPr>
        <i/>
        <sz val="11"/>
        <rFont val="Times New Roman"/>
        <family val="1"/>
      </rPr>
      <t>π</t>
    </r>
    <r>
      <rPr>
        <sz val="11"/>
        <rFont val="Times New Roman"/>
        <family val="1"/>
      </rPr>
      <t>^</t>
    </r>
    <r>
      <rPr>
        <vertAlign val="subscript"/>
        <sz val="11"/>
        <rFont val="Times New Roman"/>
        <family val="1"/>
      </rPr>
      <t>1</t>
    </r>
  </si>
  <si>
    <r>
      <rPr>
        <i/>
        <sz val="11"/>
        <rFont val="Times New Roman"/>
        <family val="1"/>
      </rPr>
      <t>u</t>
    </r>
    <r>
      <rPr>
        <sz val="11"/>
        <rFont val="游ゴシック"/>
        <family val="2"/>
        <charset val="128"/>
        <scheme val="minor"/>
      </rPr>
      <t>値</t>
    </r>
  </si>
  <si>
    <r>
      <rPr>
        <i/>
        <sz val="11"/>
        <rFont val="Times New Roman"/>
        <family val="1"/>
      </rPr>
      <t>p</t>
    </r>
    <r>
      <rPr>
        <sz val="11"/>
        <rFont val="游ゴシック"/>
        <family val="2"/>
        <charset val="128"/>
        <scheme val="minor"/>
      </rPr>
      <t>値</t>
    </r>
    <rPh sb="1" eb="2">
      <t>チ</t>
    </rPh>
    <phoneticPr fontId="2"/>
  </si>
  <si>
    <t>学年</t>
    <rPh sb="0" eb="2">
      <t>ガクネン</t>
    </rPh>
    <phoneticPr fontId="2"/>
  </si>
  <si>
    <t>人数</t>
    <rPh sb="0" eb="2">
      <t>ニンズウ</t>
    </rPh>
    <phoneticPr fontId="2"/>
  </si>
  <si>
    <t>構成比</t>
    <rPh sb="0" eb="3">
      <t>コウセイヒ</t>
    </rPh>
    <phoneticPr fontId="2"/>
  </si>
  <si>
    <t>実測度数</t>
    <rPh sb="0" eb="2">
      <t>ジッソク</t>
    </rPh>
    <rPh sb="2" eb="4">
      <t>ドスウ</t>
    </rPh>
    <phoneticPr fontId="2"/>
  </si>
  <si>
    <t>期待度数</t>
    <rPh sb="0" eb="3">
      <t>キタイド</t>
    </rPh>
    <rPh sb="3" eb="4">
      <t>スウ</t>
    </rPh>
    <phoneticPr fontId="2"/>
  </si>
  <si>
    <r>
      <t>(実-期)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/期</t>
    </r>
    <rPh sb="1" eb="2">
      <t>ジツ</t>
    </rPh>
    <rPh sb="3" eb="4">
      <t>キ</t>
    </rPh>
    <rPh sb="7" eb="8">
      <t>キ</t>
    </rPh>
    <phoneticPr fontId="2"/>
  </si>
  <si>
    <t>1年</t>
    <rPh sb="1" eb="2">
      <t>ネン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</si>
  <si>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</si>
  <si>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</si>
  <si>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4年</t>
    <rPh sb="1" eb="2">
      <t>ネン</t>
    </rPh>
    <phoneticPr fontId="2"/>
  </si>
  <si>
    <t>合計</t>
    <rPh sb="0" eb="2">
      <t>ゴウケイ</t>
    </rPh>
    <phoneticPr fontId="2"/>
  </si>
  <si>
    <r>
      <rPr>
        <i/>
        <sz val="11"/>
        <color theme="1"/>
        <rFont val="Times New Roman"/>
        <family val="1"/>
      </rPr>
      <t>χ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游ゴシック"/>
        <family val="2"/>
        <charset val="128"/>
      </rPr>
      <t>値</t>
    </r>
    <rPh sb="2" eb="3">
      <t>チ</t>
    </rPh>
    <phoneticPr fontId="2"/>
  </si>
  <si>
    <t>自由度</t>
    <rPh sb="0" eb="3">
      <t>ジユウド</t>
    </rPh>
    <phoneticPr fontId="2"/>
  </si>
  <si>
    <t>持っている</t>
    <rPh sb="0" eb="1">
      <t>モ</t>
    </rPh>
    <phoneticPr fontId="2"/>
  </si>
  <si>
    <t>持っていない</t>
    <rPh sb="0" eb="1">
      <t>モ</t>
    </rPh>
    <phoneticPr fontId="2"/>
  </si>
  <si>
    <t>度数</t>
    <rPh sb="0" eb="2">
      <t>ドスウ</t>
    </rPh>
    <phoneticPr fontId="2"/>
  </si>
  <si>
    <t>2×2分割表</t>
    <rPh sb="3" eb="5">
      <t>ブンカツ</t>
    </rPh>
    <rPh sb="5" eb="6">
      <t>ヒョウ</t>
    </rPh>
    <phoneticPr fontId="2"/>
  </si>
  <si>
    <t>A</t>
  </si>
  <si>
    <t>B</t>
  </si>
  <si>
    <t>知らない</t>
  </si>
  <si>
    <t>知っている</t>
  </si>
  <si>
    <t>φ</t>
    <phoneticPr fontId="2"/>
  </si>
  <si>
    <r>
      <rPr>
        <i/>
        <sz val="11"/>
        <color theme="1"/>
        <rFont val="Times New Roman"/>
        <family val="1"/>
      </rPr>
      <t>χ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游ゴシック"/>
        <family val="3"/>
        <charset val="128"/>
      </rPr>
      <t>値</t>
    </r>
    <rPh sb="2" eb="3">
      <t>アタイ</t>
    </rPh>
    <phoneticPr fontId="2"/>
  </si>
  <si>
    <t>イェーツの修正後</t>
    <rPh sb="5" eb="7">
      <t>シュウセイ</t>
    </rPh>
    <rPh sb="7" eb="8">
      <t>ゴ</t>
    </rPh>
    <phoneticPr fontId="2"/>
  </si>
  <si>
    <t>棄却値</t>
    <rPh sb="0" eb="2">
      <t>キキャク</t>
    </rPh>
    <rPh sb="2" eb="3">
      <t>アタイ</t>
    </rPh>
    <phoneticPr fontId="2"/>
  </si>
  <si>
    <r>
      <rPr>
        <i/>
        <sz val="11"/>
        <color theme="1"/>
        <rFont val="Times New Roman"/>
        <family val="1"/>
      </rPr>
      <t>χ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φ</t>
    </r>
    <r>
      <rPr>
        <sz val="11"/>
        <color theme="1"/>
        <rFont val="游ゴシック"/>
        <family val="3"/>
        <charset val="128"/>
      </rPr>
      <t>，</t>
    </r>
    <r>
      <rPr>
        <i/>
        <sz val="11"/>
        <color theme="1"/>
        <rFont val="Times New Roman"/>
        <family val="1"/>
      </rPr>
      <t>α</t>
    </r>
    <r>
      <rPr>
        <sz val="11"/>
        <color theme="1"/>
        <rFont val="Times New Roman"/>
        <family val="1"/>
      </rPr>
      <t>)</t>
    </r>
    <phoneticPr fontId="2"/>
  </si>
  <si>
    <t>有意確率</t>
    <rPh sb="0" eb="2">
      <t>ユウイ</t>
    </rPh>
    <rPh sb="2" eb="4">
      <t>カクリツ</t>
    </rPh>
    <phoneticPr fontId="2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</si>
  <si>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游ゴシック"/>
        <family val="2"/>
        <charset val="128"/>
        <scheme val="minor"/>
      </rPr>
      <t>値</t>
    </r>
  </si>
  <si>
    <t>確率</t>
    <rPh sb="0" eb="2">
      <t>カクリツ</t>
    </rPh>
    <phoneticPr fontId="2"/>
  </si>
  <si>
    <t>飼っている</t>
    <rPh sb="0" eb="1">
      <t>カ</t>
    </rPh>
    <phoneticPr fontId="2"/>
  </si>
  <si>
    <t>飼っていない</t>
    <rPh sb="0" eb="1">
      <t>カ</t>
    </rPh>
    <phoneticPr fontId="2"/>
  </si>
  <si>
    <t>計算</t>
    <rPh sb="0" eb="2">
      <t>ケイサン</t>
    </rPh>
    <phoneticPr fontId="2"/>
  </si>
  <si>
    <t>notA</t>
  </si>
  <si>
    <t>notB</t>
  </si>
  <si>
    <t>ノートパソコン</t>
    <phoneticPr fontId="2"/>
  </si>
  <si>
    <t>デスクトップパソコン</t>
    <phoneticPr fontId="2"/>
  </si>
  <si>
    <t>両方持っている</t>
    <rPh sb="0" eb="2">
      <t>リョウホウ</t>
    </rPh>
    <rPh sb="2" eb="3">
      <t>モ</t>
    </rPh>
    <phoneticPr fontId="2"/>
  </si>
  <si>
    <t>他方持っていない</t>
    <rPh sb="0" eb="2">
      <t>タホウ</t>
    </rPh>
    <rPh sb="2" eb="3">
      <t>モ</t>
    </rPh>
    <phoneticPr fontId="2"/>
  </si>
  <si>
    <r>
      <t>n</t>
    </r>
    <r>
      <rPr>
        <sz val="11"/>
        <color theme="1"/>
        <rFont val="游ゴシック"/>
        <family val="3"/>
        <charset val="128"/>
        <scheme val="minor"/>
      </rPr>
      <t>-</t>
    </r>
    <r>
      <rPr>
        <i/>
        <sz val="11"/>
        <color theme="1"/>
        <rFont val="Times New Roman"/>
        <family val="1"/>
      </rPr>
      <t>m</t>
    </r>
  </si>
  <si>
    <r>
      <t>π</t>
    </r>
    <r>
      <rPr>
        <vertAlign val="superscript"/>
        <sz val="11"/>
        <color theme="1"/>
        <rFont val="Times New Roman"/>
        <family val="1"/>
      </rPr>
      <t>^</t>
    </r>
    <phoneticPr fontId="2"/>
  </si>
  <si>
    <r>
      <t>π</t>
    </r>
    <r>
      <rPr>
        <vertAlign val="subscript"/>
        <sz val="11"/>
        <color theme="1"/>
        <rFont val="Times New Roman"/>
        <family val="1"/>
      </rPr>
      <t>0</t>
    </r>
    <phoneticPr fontId="2"/>
  </si>
  <si>
    <r>
      <t>Pr</t>
    </r>
    <r>
      <rPr>
        <sz val="11"/>
        <color theme="1"/>
        <rFont val="游ゴシック"/>
        <family val="3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3"/>
        <charset val="128"/>
        <scheme val="minor"/>
      </rPr>
      <t>&gt;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3"/>
        <charset val="128"/>
        <scheme val="minor"/>
      </rPr>
      <t>)</t>
    </r>
  </si>
  <si>
    <r>
      <t>Pr</t>
    </r>
    <r>
      <rPr>
        <sz val="11"/>
        <color theme="1"/>
        <rFont val="游ゴシック"/>
        <family val="3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1"/>
        <scheme val="minor"/>
      </rPr>
      <t>=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3"/>
        <charset val="128"/>
        <scheme val="minor"/>
      </rPr>
      <t>)</t>
    </r>
    <phoneticPr fontId="2"/>
  </si>
  <si>
    <r>
      <t>Pr</t>
    </r>
    <r>
      <rPr>
        <sz val="11"/>
        <color theme="1"/>
        <rFont val="游ゴシック"/>
        <family val="3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1"/>
        <scheme val="minor"/>
      </rPr>
      <t>&lt;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3"/>
        <charset val="128"/>
        <scheme val="minor"/>
      </rPr>
      <t>)</t>
    </r>
    <phoneticPr fontId="2"/>
  </si>
  <si>
    <r>
      <t>p</t>
    </r>
    <r>
      <rPr>
        <sz val="11"/>
        <color theme="1"/>
        <rFont val="游ゴシック"/>
        <family val="3"/>
        <charset val="128"/>
      </rPr>
      <t>値</t>
    </r>
    <rPh sb="1" eb="2">
      <t>チ</t>
    </rPh>
    <phoneticPr fontId="2"/>
  </si>
  <si>
    <t>C</t>
  </si>
  <si>
    <t>D</t>
  </si>
  <si>
    <t>スポーツ</t>
  </si>
  <si>
    <t>読書</t>
  </si>
  <si>
    <t>音楽</t>
  </si>
  <si>
    <t>映画</t>
  </si>
  <si>
    <t>期待値の計算</t>
    <rPh sb="0" eb="3">
      <t>キタイチ</t>
    </rPh>
    <rPh sb="4" eb="6">
      <t>ケイサン</t>
    </rPh>
    <phoneticPr fontId="2"/>
  </si>
  <si>
    <t>統計量の計算</t>
    <rPh sb="0" eb="3">
      <t>トウケイリョウ</t>
    </rPh>
    <rPh sb="4" eb="6">
      <t>ケイサン</t>
    </rPh>
    <phoneticPr fontId="2"/>
  </si>
  <si>
    <t>標準化残差の計算</t>
    <rPh sb="0" eb="3">
      <t>ヒョウジュンカ</t>
    </rPh>
    <rPh sb="3" eb="5">
      <t>ザンサ</t>
    </rPh>
    <rPh sb="6" eb="8">
      <t>ケイサン</t>
    </rPh>
    <phoneticPr fontId="2"/>
  </si>
  <si>
    <t>調整化残差の計算</t>
    <rPh sb="0" eb="2">
      <t>チョウセイ</t>
    </rPh>
    <rPh sb="2" eb="3">
      <t>カ</t>
    </rPh>
    <rPh sb="3" eb="5">
      <t>ザンサ</t>
    </rPh>
    <rPh sb="6" eb="8">
      <t>ケイサン</t>
    </rPh>
    <phoneticPr fontId="2"/>
  </si>
  <si>
    <t>不満</t>
  </si>
  <si>
    <t>やや不満</t>
  </si>
  <si>
    <t>どちらともいえない</t>
    <phoneticPr fontId="2"/>
  </si>
  <si>
    <t>やや満足</t>
  </si>
  <si>
    <t>満足</t>
  </si>
  <si>
    <t>1行目計</t>
    <rPh sb="1" eb="3">
      <t>ギョウメ</t>
    </rPh>
    <rPh sb="3" eb="4">
      <t>ケイ</t>
    </rPh>
    <phoneticPr fontId="2"/>
  </si>
  <si>
    <t>2行目計</t>
    <rPh sb="1" eb="3">
      <t>ギョウメ</t>
    </rPh>
    <rPh sb="3" eb="4">
      <t>ケイ</t>
    </rPh>
    <phoneticPr fontId="2"/>
  </si>
  <si>
    <t>N</t>
    <phoneticPr fontId="2"/>
  </si>
  <si>
    <t>n1</t>
    <phoneticPr fontId="2"/>
  </si>
  <si>
    <t>n2</t>
    <phoneticPr fontId="2"/>
  </si>
  <si>
    <t>列計</t>
    <rPh sb="0" eb="1">
      <t>レツ</t>
    </rPh>
    <rPh sb="1" eb="2">
      <t>ケイ</t>
    </rPh>
    <phoneticPr fontId="2"/>
  </si>
  <si>
    <t>累計</t>
    <rPh sb="0" eb="2">
      <t>ルイケイ</t>
    </rPh>
    <phoneticPr fontId="2"/>
  </si>
  <si>
    <t>平均順位</t>
    <rPh sb="0" eb="2">
      <t>ヘイキン</t>
    </rPh>
    <rPh sb="2" eb="4">
      <t>ジュンイ</t>
    </rPh>
    <phoneticPr fontId="2"/>
  </si>
  <si>
    <t>修正項</t>
    <rPh sb="0" eb="2">
      <t>シュウセイ</t>
    </rPh>
    <rPh sb="2" eb="3">
      <t>コウ</t>
    </rPh>
    <phoneticPr fontId="2"/>
  </si>
  <si>
    <t>C</t>
    <phoneticPr fontId="2"/>
  </si>
  <si>
    <t>W</t>
    <phoneticPr fontId="2"/>
  </si>
  <si>
    <t>E(W)</t>
    <phoneticPr fontId="2"/>
  </si>
  <si>
    <t>V(W)</t>
    <phoneticPr fontId="2"/>
  </si>
  <si>
    <t>有意確率(片側)</t>
    <rPh sb="0" eb="2">
      <t>ユウイ</t>
    </rPh>
    <rPh sb="2" eb="4">
      <t>カクリツ</t>
    </rPh>
    <rPh sb="5" eb="7">
      <t>カタガワ</t>
    </rPh>
    <phoneticPr fontId="2"/>
  </si>
  <si>
    <t>学生</t>
  </si>
  <si>
    <t>OL</t>
  </si>
  <si>
    <t>ビジネスマン</t>
  </si>
  <si>
    <t>1行目計</t>
    <rPh sb="1" eb="2">
      <t>ギョウ</t>
    </rPh>
    <rPh sb="2" eb="3">
      <t>メ</t>
    </rPh>
    <rPh sb="3" eb="4">
      <t>ケイ</t>
    </rPh>
    <phoneticPr fontId="2"/>
  </si>
  <si>
    <t>2行目計</t>
    <rPh sb="1" eb="2">
      <t>ギョウ</t>
    </rPh>
    <rPh sb="2" eb="3">
      <t>メ</t>
    </rPh>
    <rPh sb="3" eb="4">
      <t>ケイ</t>
    </rPh>
    <phoneticPr fontId="2"/>
  </si>
  <si>
    <t>3行目計</t>
    <rPh sb="1" eb="2">
      <t>ギョウ</t>
    </rPh>
    <rPh sb="2" eb="3">
      <t>メ</t>
    </rPh>
    <rPh sb="3" eb="4">
      <t>ケイ</t>
    </rPh>
    <phoneticPr fontId="2"/>
  </si>
  <si>
    <t>n3</t>
  </si>
  <si>
    <t>順位和1</t>
    <rPh sb="0" eb="2">
      <t>ジュンイ</t>
    </rPh>
    <rPh sb="2" eb="3">
      <t>ワ</t>
    </rPh>
    <phoneticPr fontId="2"/>
  </si>
  <si>
    <t>順位和2</t>
    <rPh sb="0" eb="2">
      <t>ジュンイ</t>
    </rPh>
    <rPh sb="2" eb="3">
      <t>ワ</t>
    </rPh>
    <phoneticPr fontId="2"/>
  </si>
  <si>
    <t>順位和3</t>
    <rPh sb="0" eb="2">
      <t>ジュンイ</t>
    </rPh>
    <rPh sb="2" eb="3">
      <t>ワ</t>
    </rPh>
    <phoneticPr fontId="2"/>
  </si>
  <si>
    <t>R1</t>
    <phoneticPr fontId="2"/>
  </si>
  <si>
    <t>R1＊R1/n</t>
    <phoneticPr fontId="2"/>
  </si>
  <si>
    <t>R2</t>
  </si>
  <si>
    <t>R2＊R2/n</t>
    <phoneticPr fontId="2"/>
  </si>
  <si>
    <t>R3</t>
  </si>
  <si>
    <t>R3＊R3/n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</si>
</sst>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7" formatCode="0.0000"/>
    <numFmt numFmtId="181" formatCode="0.0"/>
    <numFmt numFmtId="182" formatCode="0.00000"/>
    <numFmt numFmtId="183" formatCode="0.0000_ "/>
    <numFmt numFmtId="184" formatCode="0.000"/>
    <numFmt numFmtId="188" formatCode="#,##0.0000;[Red]\-#,##0.0000"/>
  </numFmts>
  <fonts count="2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i/>
      <sz val="11"/>
      <color theme="1"/>
      <name val="Times New Roman"/>
      <family val="1"/>
    </font>
    <font>
      <sz val="11"/>
      <color theme="1"/>
      <name val="游ゴシック"/>
      <family val="1"/>
      <charset val="128"/>
      <scheme val="minor"/>
    </font>
    <font>
      <sz val="11"/>
      <color theme="1"/>
      <name val="游ゴシック"/>
      <family val="1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游ゴシック"/>
      <family val="2"/>
      <charset val="128"/>
      <scheme val="minor"/>
    </font>
    <font>
      <sz val="11"/>
      <name val="游ゴシック"/>
      <family val="1"/>
      <charset val="128"/>
      <scheme val="minor"/>
    </font>
    <font>
      <i/>
      <sz val="11"/>
      <name val="Times New Roman"/>
      <family val="1"/>
    </font>
    <font>
      <sz val="11"/>
      <name val="游ゴシック"/>
      <family val="1"/>
      <scheme val="minor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11"/>
      <name val="游ゴシック"/>
      <family val="3"/>
      <charset val="128"/>
      <scheme val="minor"/>
    </font>
    <font>
      <i/>
      <sz val="11"/>
      <name val="游ゴシック"/>
      <family val="1"/>
      <scheme val="minor"/>
    </font>
    <font>
      <sz val="11"/>
      <name val="游ゴシック"/>
      <family val="3"/>
      <charset val="128"/>
    </font>
    <font>
      <vertAlign val="subscript"/>
      <sz val="11"/>
      <name val="Times New Roman"/>
      <family val="1"/>
    </font>
    <font>
      <vertAlign val="superscript"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7" xfId="0" applyBorder="1" applyAlignment="1">
      <alignment horizontal="right" vertical="center"/>
    </xf>
    <xf numFmtId="177" fontId="0" fillId="0" borderId="0" xfId="0" applyNumberFormat="1">
      <alignment vertical="center"/>
    </xf>
    <xf numFmtId="177" fontId="0" fillId="0" borderId="1" xfId="0" applyNumberFormat="1" applyBorder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0" fontId="0" fillId="0" borderId="0" xfId="1" applyNumberFormat="1" applyFo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1" applyNumberFormat="1" applyFont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10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1" applyNumberFormat="1" applyFont="1" applyBorder="1">
      <alignment vertical="center"/>
    </xf>
    <xf numFmtId="0" fontId="0" fillId="0" borderId="14" xfId="1" applyNumberFormat="1" applyFont="1" applyBorder="1">
      <alignment vertical="center"/>
    </xf>
    <xf numFmtId="0" fontId="0" fillId="0" borderId="15" xfId="1" applyNumberFormat="1" applyFont="1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177" fontId="0" fillId="0" borderId="0" xfId="0" applyNumberFormat="1" applyBorder="1">
      <alignment vertical="center"/>
    </xf>
    <xf numFmtId="182" fontId="0" fillId="0" borderId="0" xfId="0" applyNumberFormat="1">
      <alignment vertical="center"/>
    </xf>
    <xf numFmtId="3" fontId="0" fillId="0" borderId="1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38" fontId="0" fillId="0" borderId="14" xfId="1" applyFont="1" applyBorder="1" applyAlignment="1">
      <alignment horizontal="right" vertical="center"/>
    </xf>
    <xf numFmtId="38" fontId="0" fillId="0" borderId="15" xfId="1" applyFont="1" applyBorder="1" applyAlignment="1">
      <alignment horizontal="right" vertical="center"/>
    </xf>
    <xf numFmtId="0" fontId="0" fillId="0" borderId="14" xfId="0" applyBorder="1">
      <alignment vertical="center"/>
    </xf>
    <xf numFmtId="38" fontId="0" fillId="0" borderId="4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38" fontId="0" fillId="0" borderId="10" xfId="1" applyFont="1" applyBorder="1" applyAlignment="1">
      <alignment horizontal="center" vertical="center"/>
    </xf>
    <xf numFmtId="0" fontId="0" fillId="0" borderId="7" xfId="0" applyBorder="1">
      <alignment vertical="center"/>
    </xf>
    <xf numFmtId="181" fontId="0" fillId="0" borderId="9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181" fontId="0" fillId="0" borderId="15" xfId="0" applyNumberFormat="1" applyBorder="1">
      <alignment vertical="center"/>
    </xf>
    <xf numFmtId="182" fontId="0" fillId="0" borderId="6" xfId="0" applyNumberFormat="1" applyBorder="1">
      <alignment vertical="center"/>
    </xf>
    <xf numFmtId="182" fontId="0" fillId="0" borderId="9" xfId="0" applyNumberFormat="1" applyBorder="1">
      <alignment vertical="center"/>
    </xf>
    <xf numFmtId="182" fontId="0" fillId="0" borderId="13" xfId="0" applyNumberFormat="1" applyBorder="1">
      <alignment vertical="center"/>
    </xf>
    <xf numFmtId="182" fontId="0" fillId="0" borderId="15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81" fontId="0" fillId="0" borderId="4" xfId="0" applyNumberFormat="1" applyBorder="1" applyAlignment="1">
      <alignment horizontal="left" vertical="center"/>
    </xf>
    <xf numFmtId="2" fontId="0" fillId="0" borderId="7" xfId="0" applyNumberFormat="1" applyBorder="1">
      <alignment vertical="center"/>
    </xf>
    <xf numFmtId="182" fontId="0" fillId="0" borderId="7" xfId="0" applyNumberForma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83" fontId="11" fillId="0" borderId="0" xfId="0" applyNumberFormat="1" applyFont="1">
      <alignment vertical="center"/>
    </xf>
    <xf numFmtId="0" fontId="11" fillId="0" borderId="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1" fillId="0" borderId="7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" fontId="11" fillId="0" borderId="7" xfId="0" applyNumberFormat="1" applyFont="1" applyBorder="1">
      <alignment vertical="center"/>
    </xf>
    <xf numFmtId="182" fontId="11" fillId="0" borderId="7" xfId="0" applyNumberFormat="1" applyFont="1" applyBorder="1">
      <alignment vertical="center"/>
    </xf>
    <xf numFmtId="0" fontId="11" fillId="0" borderId="3" xfId="0" applyFont="1" applyBorder="1">
      <alignment vertical="center"/>
    </xf>
    <xf numFmtId="0" fontId="12" fillId="0" borderId="8" xfId="0" applyFont="1" applyBorder="1" applyAlignment="1">
      <alignment horizontal="center" vertical="center"/>
    </xf>
    <xf numFmtId="182" fontId="11" fillId="0" borderId="9" xfId="0" applyNumberFormat="1" applyFont="1" applyBorder="1">
      <alignment vertical="center"/>
    </xf>
    <xf numFmtId="0" fontId="11" fillId="0" borderId="2" xfId="0" applyFont="1" applyBorder="1">
      <alignment vertical="center"/>
    </xf>
    <xf numFmtId="0" fontId="15" fillId="0" borderId="5" xfId="0" applyFont="1" applyBorder="1" applyAlignment="1">
      <alignment horizontal="center" vertical="center"/>
    </xf>
    <xf numFmtId="182" fontId="11" fillId="0" borderId="6" xfId="0" applyNumberFormat="1" applyFont="1" applyBorder="1" applyAlignment="1">
      <alignment horizontal="right" vertical="center"/>
    </xf>
    <xf numFmtId="0" fontId="15" fillId="0" borderId="8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11" xfId="0" applyBorder="1">
      <alignment vertical="center"/>
    </xf>
    <xf numFmtId="2" fontId="0" fillId="0" borderId="3" xfId="0" applyNumberFormat="1" applyBorder="1">
      <alignment vertical="center"/>
    </xf>
    <xf numFmtId="0" fontId="0" fillId="0" borderId="8" xfId="0" applyBorder="1">
      <alignment vertical="center"/>
    </xf>
    <xf numFmtId="182" fontId="0" fillId="0" borderId="2" xfId="0" applyNumberFormat="1" applyBorder="1">
      <alignment vertical="center"/>
    </xf>
    <xf numFmtId="182" fontId="0" fillId="0" borderId="4" xfId="0" applyNumberFormat="1" applyBorder="1">
      <alignment vertical="center"/>
    </xf>
    <xf numFmtId="182" fontId="0" fillId="0" borderId="3" xfId="0" applyNumberFormat="1" applyBorder="1">
      <alignment vertical="center"/>
    </xf>
    <xf numFmtId="0" fontId="11" fillId="0" borderId="9" xfId="0" applyFont="1" applyBorder="1">
      <alignment vertical="center"/>
    </xf>
    <xf numFmtId="0" fontId="0" fillId="0" borderId="4" xfId="0" applyBorder="1" applyAlignment="1">
      <alignment horizontal="right" vertical="center"/>
    </xf>
    <xf numFmtId="0" fontId="11" fillId="0" borderId="6" xfId="0" applyFont="1" applyBorder="1">
      <alignment vertical="center"/>
    </xf>
    <xf numFmtId="182" fontId="11" fillId="0" borderId="4" xfId="0" applyNumberFormat="1" applyFont="1" applyBorder="1">
      <alignment vertical="center"/>
    </xf>
    <xf numFmtId="182" fontId="11" fillId="0" borderId="3" xfId="0" applyNumberFormat="1" applyFont="1" applyBorder="1">
      <alignment vertical="center"/>
    </xf>
    <xf numFmtId="184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7" fontId="0" fillId="0" borderId="9" xfId="0" applyNumberFormat="1" applyBorder="1">
      <alignment vertical="center"/>
    </xf>
    <xf numFmtId="184" fontId="0" fillId="0" borderId="13" xfId="0" applyNumberFormat="1" applyBorder="1">
      <alignment vertical="center"/>
    </xf>
    <xf numFmtId="177" fontId="0" fillId="0" borderId="15" xfId="0" applyNumberFormat="1" applyBorder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5" xfId="0" applyFont="1" applyBorder="1">
      <alignment vertical="center"/>
    </xf>
    <xf numFmtId="0" fontId="5" fillId="0" borderId="0" xfId="0" applyFont="1" applyBorder="1">
      <alignment vertical="center"/>
    </xf>
    <xf numFmtId="0" fontId="8" fillId="0" borderId="0" xfId="0" applyFont="1" applyBorder="1">
      <alignment vertical="center"/>
    </xf>
    <xf numFmtId="177" fontId="0" fillId="0" borderId="7" xfId="0" applyNumberFormat="1" applyBorder="1">
      <alignment vertical="center"/>
    </xf>
    <xf numFmtId="0" fontId="6" fillId="0" borderId="0" xfId="0" applyFont="1" applyBorder="1">
      <alignment vertical="center"/>
    </xf>
    <xf numFmtId="0" fontId="6" fillId="0" borderId="8" xfId="0" applyFont="1" applyBorder="1">
      <alignment vertical="center"/>
    </xf>
    <xf numFmtId="177" fontId="0" fillId="0" borderId="14" xfId="0" applyNumberFormat="1" applyBorder="1">
      <alignment vertical="center"/>
    </xf>
    <xf numFmtId="177" fontId="6" fillId="0" borderId="0" xfId="0" applyNumberFormat="1" applyFont="1">
      <alignment vertical="center"/>
    </xf>
    <xf numFmtId="0" fontId="0" fillId="0" borderId="1" xfId="0" applyFill="1" applyBorder="1">
      <alignment vertical="center"/>
    </xf>
    <xf numFmtId="177" fontId="0" fillId="0" borderId="6" xfId="0" applyNumberForma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3" xfId="0" applyFont="1" applyBorder="1">
      <alignment vertical="center"/>
    </xf>
    <xf numFmtId="177" fontId="0" fillId="0" borderId="10" xfId="0" applyNumberFormat="1" applyBorder="1" applyAlignment="1">
      <alignment horizontal="center" vertical="center"/>
    </xf>
    <xf numFmtId="177" fontId="0" fillId="0" borderId="3" xfId="0" applyNumberFormat="1" applyBorder="1">
      <alignment vertical="center"/>
    </xf>
    <xf numFmtId="182" fontId="0" fillId="0" borderId="16" xfId="0" applyNumberFormat="1" applyBorder="1">
      <alignment vertical="center"/>
    </xf>
    <xf numFmtId="182" fontId="0" fillId="0" borderId="17" xfId="0" applyNumberFormat="1" applyBorder="1">
      <alignment vertical="center"/>
    </xf>
    <xf numFmtId="182" fontId="0" fillId="0" borderId="18" xfId="0" applyNumberFormat="1" applyBorder="1">
      <alignment vertical="center"/>
    </xf>
    <xf numFmtId="0" fontId="5" fillId="0" borderId="8" xfId="0" applyFont="1" applyBorder="1">
      <alignment vertical="center"/>
    </xf>
    <xf numFmtId="183" fontId="0" fillId="0" borderId="0" xfId="0" applyNumberFormat="1">
      <alignment vertical="center"/>
    </xf>
    <xf numFmtId="0" fontId="8" fillId="0" borderId="5" xfId="0" applyFont="1" applyBorder="1">
      <alignment vertical="center"/>
    </xf>
    <xf numFmtId="177" fontId="0" fillId="0" borderId="6" xfId="0" applyNumberFormat="1" applyBorder="1">
      <alignment vertical="center"/>
    </xf>
    <xf numFmtId="0" fontId="23" fillId="0" borderId="7" xfId="0" applyFont="1" applyBorder="1">
      <alignment vertical="center"/>
    </xf>
    <xf numFmtId="188" fontId="23" fillId="0" borderId="9" xfId="1" applyNumberFormat="1" applyFont="1" applyBorder="1">
      <alignment vertical="center"/>
    </xf>
    <xf numFmtId="0" fontId="0" fillId="0" borderId="1" xfId="0" applyBorder="1" applyAlignment="1">
      <alignment horizontal="center" vertical="center" wrapText="1"/>
    </xf>
    <xf numFmtId="177" fontId="0" fillId="0" borderId="13" xfId="0" applyNumberFormat="1" applyBorder="1">
      <alignment vertical="center"/>
    </xf>
    <xf numFmtId="184" fontId="0" fillId="0" borderId="14" xfId="0" applyNumberFormat="1" applyBorder="1">
      <alignment vertical="center"/>
    </xf>
    <xf numFmtId="0" fontId="0" fillId="0" borderId="1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ノートパソコンの所有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'例題4-7'!$F$1</c:f>
              <c:strCache>
                <c:ptCount val="1"/>
                <c:pt idx="0">
                  <c:v>人数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'例題4-7'!$E$2:$E$3</c:f>
              <c:strCache>
                <c:ptCount val="2"/>
                <c:pt idx="0">
                  <c:v>持っている</c:v>
                </c:pt>
                <c:pt idx="1">
                  <c:v>持っていない</c:v>
                </c:pt>
              </c:strCache>
            </c:strRef>
          </c:cat>
          <c:val>
            <c:numRef>
              <c:f>'例題4-7'!$F$2:$F$3</c:f>
              <c:numCache>
                <c:formatCode>General</c:formatCode>
                <c:ptCount val="2"/>
                <c:pt idx="0">
                  <c:v>110</c:v>
                </c:pt>
                <c:pt idx="1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1D-442D-9F20-FF3116C8A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女</a:t>
            </a:r>
          </a:p>
        </c:rich>
      </c:tx>
      <c:layout>
        <c:manualLayout>
          <c:xMode val="edge"/>
          <c:yMode val="edge"/>
          <c:x val="0.49297935266314713"/>
          <c:y val="7.2340421492130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'例題4-14(2×M分割表)'!$A$3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'例題4-14(2×M分割表)'!$B$1:$F$1</c:f>
              <c:strCache>
                <c:ptCount val="5"/>
                <c:pt idx="0">
                  <c:v>不満</c:v>
                </c:pt>
                <c:pt idx="1">
                  <c:v>やや不満</c:v>
                </c:pt>
                <c:pt idx="2">
                  <c:v>どちらともいえない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'例題4-14(2×M分割表)'!$B$3:$F$3</c:f>
              <c:numCache>
                <c:formatCode>General</c:formatCode>
                <c:ptCount val="5"/>
                <c:pt idx="0">
                  <c:v>10</c:v>
                </c:pt>
                <c:pt idx="1">
                  <c:v>25</c:v>
                </c:pt>
                <c:pt idx="2">
                  <c:v>30</c:v>
                </c:pt>
                <c:pt idx="3">
                  <c:v>25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FD-4576-B4C3-2BFA6CF9C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性別と満足度の帯グラフ</a:t>
            </a:r>
            <a:endParaRPr lang="ja-JP" sz="1050">
              <a:latin typeface="+mn-ea"/>
              <a:ea typeface="+mn-ea"/>
            </a:endParaRPr>
          </a:p>
        </c:rich>
      </c:tx>
      <c:layout>
        <c:manualLayout>
          <c:xMode val="edge"/>
          <c:yMode val="edge"/>
          <c:x val="0.31060019709546577"/>
          <c:y val="1.99063253263056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5952370067469903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'例題4-14(2×M分割表)'!$B$1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2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'例題4-14(2×M分割表)'!$A$2:$A$3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'例題4-14(2×M分割表)'!$B$2:$B$3</c:f>
              <c:numCache>
                <c:formatCode>General</c:formatCode>
                <c:ptCount val="2"/>
                <c:pt idx="0">
                  <c:v>5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1F-4ED5-8DBB-47EAB918E8AC}"/>
            </c:ext>
          </c:extLst>
        </c:ser>
        <c:ser>
          <c:idx val="1"/>
          <c:order val="1"/>
          <c:tx>
            <c:strRef>
              <c:f>'例題4-14(2×M分割表)'!$C$1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'例題4-14(2×M分割表)'!$A$2:$A$3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'例題4-14(2×M分割表)'!$C$2:$C$3</c:f>
              <c:numCache>
                <c:formatCode>General</c:formatCode>
                <c:ptCount val="2"/>
                <c:pt idx="0">
                  <c:v>15</c:v>
                </c:pt>
                <c:pt idx="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1F-4ED5-8DBB-47EAB918E8AC}"/>
            </c:ext>
          </c:extLst>
        </c:ser>
        <c:ser>
          <c:idx val="2"/>
          <c:order val="2"/>
          <c:tx>
            <c:strRef>
              <c:f>'例題4-14(2×M分割表)'!$D$1</c:f>
              <c:strCache>
                <c:ptCount val="1"/>
                <c:pt idx="0">
                  <c:v>どちらともいえない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'例題4-14(2×M分割表)'!$A$2:$A$3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'例題4-14(2×M分割表)'!$D$2:$D$3</c:f>
              <c:numCache>
                <c:formatCode>General</c:formatCode>
                <c:ptCount val="2"/>
                <c:pt idx="0">
                  <c:v>35</c:v>
                </c:pt>
                <c:pt idx="1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1F-4ED5-8DBB-47EAB918E8AC}"/>
            </c:ext>
          </c:extLst>
        </c:ser>
        <c:ser>
          <c:idx val="3"/>
          <c:order val="3"/>
          <c:tx>
            <c:strRef>
              <c:f>'例題4-14(2×M分割表)'!$E$1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'例題4-14(2×M分割表)'!$A$2:$A$3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'例題4-14(2×M分割表)'!$E$2:$E$3</c:f>
              <c:numCache>
                <c:formatCode>General</c:formatCode>
                <c:ptCount val="2"/>
                <c:pt idx="0">
                  <c:v>30</c:v>
                </c:pt>
                <c:pt idx="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1F-4ED5-8DBB-47EAB918E8AC}"/>
            </c:ext>
          </c:extLst>
        </c:ser>
        <c:ser>
          <c:idx val="4"/>
          <c:order val="4"/>
          <c:tx>
            <c:strRef>
              <c:f>'例題4-14(2×M分割表)'!$F$1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2">
                <a:tint val="54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'例題4-14(2×M分割表)'!$A$2:$A$3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'例題4-14(2×M分割表)'!$F$2:$F$3</c:f>
              <c:numCache>
                <c:formatCode>General</c:formatCode>
                <c:ptCount val="2"/>
                <c:pt idx="0">
                  <c:v>15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1F-4ED5-8DBB-47EAB918E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08038826277251"/>
          <c:y val="0.84717506515925456"/>
          <c:w val="0.72919599870361074"/>
          <c:h val="0.12960088862672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学生</a:t>
            </a:r>
          </a:p>
        </c:rich>
      </c:tx>
      <c:layout>
        <c:manualLayout>
          <c:xMode val="edge"/>
          <c:yMode val="edge"/>
          <c:x val="0.49297935266314713"/>
          <c:y val="7.2340421492130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'例題4-14(L×M分割表)'!$A$2</c:f>
              <c:strCache>
                <c:ptCount val="1"/>
                <c:pt idx="0">
                  <c:v>学生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'例題4-14(L×M分割表)'!$B$1:$F$1</c:f>
              <c:strCache>
                <c:ptCount val="5"/>
                <c:pt idx="0">
                  <c:v>不満</c:v>
                </c:pt>
                <c:pt idx="1">
                  <c:v>やや不満</c:v>
                </c:pt>
                <c:pt idx="2">
                  <c:v>どちらともいえない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'例題4-14(L×M分割表)'!$B$2:$F$2</c:f>
              <c:numCache>
                <c:formatCode>General</c:formatCode>
                <c:ptCount val="5"/>
                <c:pt idx="0">
                  <c:v>6</c:v>
                </c:pt>
                <c:pt idx="1">
                  <c:v>11</c:v>
                </c:pt>
                <c:pt idx="2">
                  <c:v>16</c:v>
                </c:pt>
                <c:pt idx="3">
                  <c:v>6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11-46D9-80AB-A443BEA24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en-US" altLang="ja-JP"/>
              <a:t>OL</a:t>
            </a:r>
            <a:endParaRPr lang="ja-JP" altLang="en-US"/>
          </a:p>
        </c:rich>
      </c:tx>
      <c:layout>
        <c:manualLayout>
          <c:xMode val="edge"/>
          <c:yMode val="edge"/>
          <c:x val="0.49297935266314713"/>
          <c:y val="7.2340421492130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'例題4-14(L×M分割表)'!$A$3</c:f>
              <c:strCache>
                <c:ptCount val="1"/>
                <c:pt idx="0">
                  <c:v>OL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'例題4-14(L×M分割表)'!$B$1:$F$1</c:f>
              <c:strCache>
                <c:ptCount val="5"/>
                <c:pt idx="0">
                  <c:v>不満</c:v>
                </c:pt>
                <c:pt idx="1">
                  <c:v>やや不満</c:v>
                </c:pt>
                <c:pt idx="2">
                  <c:v>どちらともいえない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'例題4-14(L×M分割表)'!$B$3:$F$3</c:f>
              <c:numCache>
                <c:formatCode>General</c:formatCode>
                <c:ptCount val="5"/>
                <c:pt idx="0">
                  <c:v>7</c:v>
                </c:pt>
                <c:pt idx="1">
                  <c:v>8</c:v>
                </c:pt>
                <c:pt idx="2">
                  <c:v>15</c:v>
                </c:pt>
                <c:pt idx="3">
                  <c:v>14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E5-4C58-9F95-9E20EFCB2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ビジネスマン</a:t>
            </a:r>
          </a:p>
        </c:rich>
      </c:tx>
      <c:layout>
        <c:manualLayout>
          <c:xMode val="edge"/>
          <c:yMode val="edge"/>
          <c:x val="0.49297935266314713"/>
          <c:y val="7.2340421492130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'例題4-14(L×M分割表)'!$A$4</c:f>
              <c:strCache>
                <c:ptCount val="1"/>
                <c:pt idx="0">
                  <c:v>ビジネスマン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'例題4-14(L×M分割表)'!$B$1:$F$1</c:f>
              <c:strCache>
                <c:ptCount val="5"/>
                <c:pt idx="0">
                  <c:v>不満</c:v>
                </c:pt>
                <c:pt idx="1">
                  <c:v>やや不満</c:v>
                </c:pt>
                <c:pt idx="2">
                  <c:v>どちらともいえない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'例題4-14(L×M分割表)'!$B$4:$F$4</c:f>
              <c:numCache>
                <c:formatCode>General</c:formatCode>
                <c:ptCount val="5"/>
                <c:pt idx="0">
                  <c:v>15</c:v>
                </c:pt>
                <c:pt idx="1">
                  <c:v>11</c:v>
                </c:pt>
                <c:pt idx="2">
                  <c:v>13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7F-4BD1-AC3C-6E5EA8F19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職種と満足度の帯グラフ</a:t>
            </a:r>
            <a:endParaRPr lang="ja-JP" sz="1050">
              <a:latin typeface="+mn-ea"/>
              <a:ea typeface="+mn-ea"/>
            </a:endParaRPr>
          </a:p>
        </c:rich>
      </c:tx>
      <c:layout>
        <c:manualLayout>
          <c:xMode val="edge"/>
          <c:yMode val="edge"/>
          <c:x val="0.36679355412340764"/>
          <c:y val="4.31303715403289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5952370067469903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'例題4-14(L×M分割表)'!$B$1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2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'例題4-14(L×M分割表)'!$A$2:$A$4</c:f>
              <c:strCache>
                <c:ptCount val="3"/>
                <c:pt idx="0">
                  <c:v>学生</c:v>
                </c:pt>
                <c:pt idx="1">
                  <c:v>OL</c:v>
                </c:pt>
                <c:pt idx="2">
                  <c:v>ビジネスマン</c:v>
                </c:pt>
              </c:strCache>
            </c:strRef>
          </c:cat>
          <c:val>
            <c:numRef>
              <c:f>'例題4-14(L×M分割表)'!$B$2:$B$4</c:f>
              <c:numCache>
                <c:formatCode>General</c:formatCode>
                <c:ptCount val="3"/>
                <c:pt idx="0">
                  <c:v>6</c:v>
                </c:pt>
                <c:pt idx="1">
                  <c:v>7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97-47EC-88AA-26D610DC5569}"/>
            </c:ext>
          </c:extLst>
        </c:ser>
        <c:ser>
          <c:idx val="1"/>
          <c:order val="1"/>
          <c:tx>
            <c:strRef>
              <c:f>'例題4-14(L×M分割表)'!$C$1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'例題4-14(L×M分割表)'!$A$2:$A$4</c:f>
              <c:strCache>
                <c:ptCount val="3"/>
                <c:pt idx="0">
                  <c:v>学生</c:v>
                </c:pt>
                <c:pt idx="1">
                  <c:v>OL</c:v>
                </c:pt>
                <c:pt idx="2">
                  <c:v>ビジネスマン</c:v>
                </c:pt>
              </c:strCache>
            </c:strRef>
          </c:cat>
          <c:val>
            <c:numRef>
              <c:f>'例題4-14(L×M分割表)'!$C$2:$C$4</c:f>
              <c:numCache>
                <c:formatCode>General</c:formatCode>
                <c:ptCount val="3"/>
                <c:pt idx="0">
                  <c:v>11</c:v>
                </c:pt>
                <c:pt idx="1">
                  <c:v>8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97-47EC-88AA-26D610DC5569}"/>
            </c:ext>
          </c:extLst>
        </c:ser>
        <c:ser>
          <c:idx val="2"/>
          <c:order val="2"/>
          <c:tx>
            <c:strRef>
              <c:f>'例題4-14(L×M分割表)'!$D$1</c:f>
              <c:strCache>
                <c:ptCount val="1"/>
                <c:pt idx="0">
                  <c:v>どちらともいえない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'例題4-14(L×M分割表)'!$A$2:$A$4</c:f>
              <c:strCache>
                <c:ptCount val="3"/>
                <c:pt idx="0">
                  <c:v>学生</c:v>
                </c:pt>
                <c:pt idx="1">
                  <c:v>OL</c:v>
                </c:pt>
                <c:pt idx="2">
                  <c:v>ビジネスマン</c:v>
                </c:pt>
              </c:strCache>
            </c:strRef>
          </c:cat>
          <c:val>
            <c:numRef>
              <c:f>'例題4-14(L×M分割表)'!$D$2:$D$4</c:f>
              <c:numCache>
                <c:formatCode>General</c:formatCode>
                <c:ptCount val="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97-47EC-88AA-26D610DC5569}"/>
            </c:ext>
          </c:extLst>
        </c:ser>
        <c:ser>
          <c:idx val="3"/>
          <c:order val="3"/>
          <c:tx>
            <c:strRef>
              <c:f>'例題4-14(L×M分割表)'!$E$1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'例題4-14(L×M分割表)'!$A$2:$A$4</c:f>
              <c:strCache>
                <c:ptCount val="3"/>
                <c:pt idx="0">
                  <c:v>学生</c:v>
                </c:pt>
                <c:pt idx="1">
                  <c:v>OL</c:v>
                </c:pt>
                <c:pt idx="2">
                  <c:v>ビジネスマン</c:v>
                </c:pt>
              </c:strCache>
            </c:strRef>
          </c:cat>
          <c:val>
            <c:numRef>
              <c:f>'例題4-14(L×M分割表)'!$E$2:$E$4</c:f>
              <c:numCache>
                <c:formatCode>General</c:formatCode>
                <c:ptCount val="3"/>
                <c:pt idx="0">
                  <c:v>6</c:v>
                </c:pt>
                <c:pt idx="1">
                  <c:v>14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97-47EC-88AA-26D610DC5569}"/>
            </c:ext>
          </c:extLst>
        </c:ser>
        <c:ser>
          <c:idx val="4"/>
          <c:order val="4"/>
          <c:tx>
            <c:strRef>
              <c:f>'例題4-14(L×M分割表)'!$F$1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2">
                <a:tint val="54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'例題4-14(L×M分割表)'!$A$2:$A$4</c:f>
              <c:strCache>
                <c:ptCount val="3"/>
                <c:pt idx="0">
                  <c:v>学生</c:v>
                </c:pt>
                <c:pt idx="1">
                  <c:v>OL</c:v>
                </c:pt>
                <c:pt idx="2">
                  <c:v>ビジネスマン</c:v>
                </c:pt>
              </c:strCache>
            </c:strRef>
          </c:cat>
          <c:val>
            <c:numRef>
              <c:f>'例題4-14(L×M分割表)'!$F$2:$F$4</c:f>
              <c:numCache>
                <c:formatCode>General</c:formatCode>
                <c:ptCount val="3"/>
                <c:pt idx="0">
                  <c:v>11</c:v>
                </c:pt>
                <c:pt idx="1">
                  <c:v>6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97-47EC-88AA-26D610DC5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08038826277251"/>
          <c:y val="0.84717506515925456"/>
          <c:w val="0.72919599870361074"/>
          <c:h val="0.12960088862672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ノートパソコンの所有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'例題4-7'!$F$1</c:f>
              <c:strCache>
                <c:ptCount val="1"/>
                <c:pt idx="0">
                  <c:v>人数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80-4D80-B81B-F83BFF67517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780-4D80-B81B-F83BFF67517F}"/>
              </c:ext>
            </c:extLst>
          </c:dPt>
          <c:dLbls>
            <c:dLbl>
              <c:idx val="0"/>
              <c:layout>
                <c:manualLayout>
                  <c:x val="-4.0618747769499988E-2"/>
                  <c:y val="-0.2599226686354163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365990428681845"/>
                      <c:h val="0.2456124239095569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D780-4D80-B81B-F83BFF67517F}"/>
                </c:ext>
              </c:extLst>
            </c:dLbl>
            <c:dLbl>
              <c:idx val="1"/>
              <c:layout>
                <c:manualLayout>
                  <c:x val="0"/>
                  <c:y val="-0.1992481000908515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305742527094805"/>
                      <c:h val="0.230421662458583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780-4D80-B81B-F83BFF67517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'例題4-7'!$E$2:$E$3</c:f>
              <c:strCache>
                <c:ptCount val="2"/>
                <c:pt idx="0">
                  <c:v>持っている</c:v>
                </c:pt>
                <c:pt idx="1">
                  <c:v>持っていない</c:v>
                </c:pt>
              </c:strCache>
            </c:strRef>
          </c:cat>
          <c:val>
            <c:numRef>
              <c:f>'例題4-7'!$F$2:$F$3</c:f>
              <c:numCache>
                <c:formatCode>General</c:formatCode>
                <c:ptCount val="2"/>
                <c:pt idx="0">
                  <c:v>110</c:v>
                </c:pt>
                <c:pt idx="1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80-4D80-B81B-F83BFF67517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学年別の実測度数と期待度数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793450893952374"/>
          <c:y val="0.20518929205648925"/>
          <c:w val="0.79529031453300536"/>
          <c:h val="0.65418741589060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'例題4-10'!$D$1</c:f>
              <c:strCache>
                <c:ptCount val="1"/>
                <c:pt idx="0">
                  <c:v>実測度数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'例題4-10'!$A$2:$A$5</c:f>
              <c:strCache>
                <c:ptCount val="4"/>
                <c:pt idx="0">
                  <c:v>1年</c:v>
                </c:pt>
                <c:pt idx="1">
                  <c:v>2年</c:v>
                </c:pt>
                <c:pt idx="2">
                  <c:v>3年</c:v>
                </c:pt>
                <c:pt idx="3">
                  <c:v>4年</c:v>
                </c:pt>
              </c:strCache>
            </c:strRef>
          </c:cat>
          <c:val>
            <c:numRef>
              <c:f>'例題4-10'!$D$2:$D$5</c:f>
              <c:numCache>
                <c:formatCode>General</c:formatCode>
                <c:ptCount val="4"/>
                <c:pt idx="0">
                  <c:v>77</c:v>
                </c:pt>
                <c:pt idx="1">
                  <c:v>59</c:v>
                </c:pt>
                <c:pt idx="2">
                  <c:v>42</c:v>
                </c:pt>
                <c:pt idx="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9B-41E2-B775-DE8A9CA6E319}"/>
            </c:ext>
          </c:extLst>
        </c:ser>
        <c:ser>
          <c:idx val="1"/>
          <c:order val="1"/>
          <c:tx>
            <c:strRef>
              <c:f>'例題4-10'!$E$1</c:f>
              <c:strCache>
                <c:ptCount val="1"/>
                <c:pt idx="0">
                  <c:v>期待度数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'例題4-10'!$A$2:$A$5</c:f>
              <c:strCache>
                <c:ptCount val="4"/>
                <c:pt idx="0">
                  <c:v>1年</c:v>
                </c:pt>
                <c:pt idx="1">
                  <c:v>2年</c:v>
                </c:pt>
                <c:pt idx="2">
                  <c:v>3年</c:v>
                </c:pt>
                <c:pt idx="3">
                  <c:v>4年</c:v>
                </c:pt>
              </c:strCache>
            </c:strRef>
          </c:cat>
          <c:val>
            <c:numRef>
              <c:f>'例題4-10'!$E$2:$E$5</c:f>
              <c:numCache>
                <c:formatCode>General</c:formatCode>
                <c:ptCount val="4"/>
                <c:pt idx="0">
                  <c:v>70</c:v>
                </c:pt>
                <c:pt idx="1">
                  <c:v>60</c:v>
                </c:pt>
                <c:pt idx="2">
                  <c:v>40</c:v>
                </c:pt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9B-41E2-B775-DE8A9CA6E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865004248835235"/>
          <c:y val="0.23081589024698371"/>
          <c:w val="0.30171886523464952"/>
          <c:h val="0.168925711357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商品</a:t>
            </a:r>
            <a:r>
              <a:rPr lang="en-US" altLang="ja-JP" sz="1050">
                <a:latin typeface="+mn-ea"/>
                <a:ea typeface="+mn-ea"/>
              </a:rPr>
              <a:t>W</a:t>
            </a:r>
            <a:r>
              <a:rPr lang="ja-JP" altLang="en-US" sz="1050">
                <a:latin typeface="+mn-ea"/>
                <a:ea typeface="+mn-ea"/>
              </a:rPr>
              <a:t>を知っているか（</a:t>
            </a:r>
            <a:r>
              <a:rPr lang="en-US" altLang="ja-JP" sz="1050">
                <a:latin typeface="+mn-ea"/>
                <a:ea typeface="+mn-ea"/>
              </a:rPr>
              <a:t>1</a:t>
            </a:r>
            <a:r>
              <a:rPr lang="ja-JP" altLang="en-US" sz="1050">
                <a:latin typeface="+mn-ea"/>
                <a:ea typeface="+mn-ea"/>
              </a:rPr>
              <a:t>）</a:t>
            </a:r>
            <a:endParaRPr lang="ja-JP" sz="1050"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31732033090260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'例題4-11'!$B$2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'例題4-11'!$A$3:$A$4</c:f>
              <c:strCache>
                <c:ptCount val="2"/>
                <c:pt idx="0">
                  <c:v>知らない</c:v>
                </c:pt>
                <c:pt idx="1">
                  <c:v>知っている</c:v>
                </c:pt>
              </c:strCache>
            </c:strRef>
          </c:cat>
          <c:val>
            <c:numRef>
              <c:f>'例題4-11'!$B$3:$B$4</c:f>
              <c:numCache>
                <c:formatCode>General</c:formatCode>
                <c:ptCount val="2"/>
                <c:pt idx="0">
                  <c:v>457</c:v>
                </c:pt>
                <c:pt idx="1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8F-4AE8-A814-A00A8618B850}"/>
            </c:ext>
          </c:extLst>
        </c:ser>
        <c:ser>
          <c:idx val="1"/>
          <c:order val="1"/>
          <c:tx>
            <c:strRef>
              <c:f>'例題4-11'!$C$2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'例題4-11'!$A$3:$A$4</c:f>
              <c:strCache>
                <c:ptCount val="2"/>
                <c:pt idx="0">
                  <c:v>知らない</c:v>
                </c:pt>
                <c:pt idx="1">
                  <c:v>知っている</c:v>
                </c:pt>
              </c:strCache>
            </c:strRef>
          </c:cat>
          <c:val>
            <c:numRef>
              <c:f>'例題4-11'!$C$3:$C$4</c:f>
              <c:numCache>
                <c:formatCode>General</c:formatCode>
                <c:ptCount val="2"/>
                <c:pt idx="0">
                  <c:v>446</c:v>
                </c:pt>
                <c:pt idx="1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8F-4AE8-A814-A00A8618B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商品</a:t>
            </a:r>
            <a:r>
              <a:rPr lang="en-US" altLang="ja-JP" sz="1050">
                <a:latin typeface="+mn-ea"/>
                <a:ea typeface="+mn-ea"/>
              </a:rPr>
              <a:t>W</a:t>
            </a:r>
            <a:r>
              <a:rPr lang="ja-JP" altLang="en-US" sz="1050">
                <a:latin typeface="+mn-ea"/>
                <a:ea typeface="+mn-ea"/>
              </a:rPr>
              <a:t>を知っているか（</a:t>
            </a:r>
            <a:r>
              <a:rPr lang="en-US" altLang="ja-JP" sz="1050">
                <a:latin typeface="+mn-ea"/>
                <a:ea typeface="+mn-ea"/>
              </a:rPr>
              <a:t>2</a:t>
            </a:r>
            <a:r>
              <a:rPr lang="ja-JP" altLang="en-US" sz="1050">
                <a:latin typeface="+mn-ea"/>
                <a:ea typeface="+mn-ea"/>
              </a:rPr>
              <a:t>）</a:t>
            </a:r>
            <a:endParaRPr lang="ja-JP" sz="1050"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31732033090260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'例題4-11'!$A$3</c:f>
              <c:strCache>
                <c:ptCount val="1"/>
                <c:pt idx="0">
                  <c:v>知らない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'例題4-11'!$B$2:$C$2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'例題4-11'!$B$3:$C$3</c:f>
              <c:numCache>
                <c:formatCode>General</c:formatCode>
                <c:ptCount val="2"/>
                <c:pt idx="0">
                  <c:v>457</c:v>
                </c:pt>
                <c:pt idx="1">
                  <c:v>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83-4288-80B4-0B10E23A9FA1}"/>
            </c:ext>
          </c:extLst>
        </c:ser>
        <c:ser>
          <c:idx val="1"/>
          <c:order val="1"/>
          <c:tx>
            <c:strRef>
              <c:f>'例題4-11'!$A$4</c:f>
              <c:strCache>
                <c:ptCount val="1"/>
                <c:pt idx="0">
                  <c:v>知っている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'例題4-11'!$B$2:$C$2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'例題4-11'!$B$4:$C$4</c:f>
              <c:numCache>
                <c:formatCode>General</c:formatCode>
                <c:ptCount val="2"/>
                <c:pt idx="0">
                  <c:v>43</c:v>
                </c:pt>
                <c:pt idx="1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83-4288-80B4-0B10E23A9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所有状況</a:t>
            </a:r>
            <a:endParaRPr lang="ja-JP" sz="1050">
              <a:latin typeface="+mn-ea"/>
              <a:ea typeface="+mn-ea"/>
            </a:endParaRPr>
          </a:p>
        </c:rich>
      </c:tx>
      <c:layout>
        <c:manualLayout>
          <c:xMode val="edge"/>
          <c:yMode val="edge"/>
          <c:x val="0.4618989331701287"/>
          <c:y val="2.4853804507540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06878371938815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'例題4-12(McNemar検定)'!$K$1</c:f>
              <c:strCache>
                <c:ptCount val="1"/>
                <c:pt idx="0">
                  <c:v>両方持っている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'例題4-12(McNemar検定)'!$J$2:$J$3</c:f>
              <c:strCache>
                <c:ptCount val="2"/>
                <c:pt idx="0">
                  <c:v>ノートパソコン</c:v>
                </c:pt>
                <c:pt idx="1">
                  <c:v>デスクトップパソコン</c:v>
                </c:pt>
              </c:strCache>
            </c:strRef>
          </c:cat>
          <c:val>
            <c:numRef>
              <c:f>'例題4-12(McNemar検定)'!$K$2:$K$3</c:f>
              <c:numCache>
                <c:formatCode>General</c:formatCode>
                <c:ptCount val="2"/>
                <c:pt idx="0">
                  <c:v>80</c:v>
                </c:pt>
                <c:pt idx="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61-4FF4-A6D9-3742B161779C}"/>
            </c:ext>
          </c:extLst>
        </c:ser>
        <c:ser>
          <c:idx val="1"/>
          <c:order val="1"/>
          <c:tx>
            <c:strRef>
              <c:f>'例題4-12(McNemar検定)'!$L$1</c:f>
              <c:strCache>
                <c:ptCount val="1"/>
                <c:pt idx="0">
                  <c:v>他方持っていない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'例題4-12(McNemar検定)'!$J$2:$J$3</c:f>
              <c:strCache>
                <c:ptCount val="2"/>
                <c:pt idx="0">
                  <c:v>ノートパソコン</c:v>
                </c:pt>
                <c:pt idx="1">
                  <c:v>デスクトップパソコン</c:v>
                </c:pt>
              </c:strCache>
            </c:strRef>
          </c:cat>
          <c:val>
            <c:numRef>
              <c:f>'例題4-12(McNemar検定)'!$L$2:$L$3</c:f>
              <c:numCache>
                <c:formatCode>General</c:formatCode>
                <c:ptCount val="2"/>
                <c:pt idx="0">
                  <c:v>40</c:v>
                </c:pt>
                <c:pt idx="1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61-4FF4-A6D9-3742B16177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53437496249895"/>
          <c:y val="0.90032287114280862"/>
          <c:w val="0.70707943458780487"/>
          <c:h val="7.0681023598393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クラスと趣味の帯グラフ（</a:t>
            </a:r>
            <a:r>
              <a:rPr lang="en-US" altLang="ja-JP" sz="1050">
                <a:latin typeface="+mn-ea"/>
                <a:ea typeface="+mn-ea"/>
              </a:rPr>
              <a:t>1</a:t>
            </a:r>
            <a:r>
              <a:rPr lang="ja-JP" altLang="en-US" sz="1050">
                <a:latin typeface="+mn-ea"/>
                <a:ea typeface="+mn-ea"/>
              </a:rPr>
              <a:t>）</a:t>
            </a:r>
            <a:endParaRPr lang="ja-JP" sz="1050"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31732033090260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'例題4-13'!$A$2</c:f>
              <c:strCache>
                <c:ptCount val="1"/>
                <c:pt idx="0">
                  <c:v>スポーツ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'例題4-13'!$B$1:$E$1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'例題4-13'!$B$2:$E$2</c:f>
              <c:numCache>
                <c:formatCode>General</c:formatCode>
                <c:ptCount val="4"/>
                <c:pt idx="0">
                  <c:v>20</c:v>
                </c:pt>
                <c:pt idx="1">
                  <c:v>6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F9-47D2-8DB1-64FF81852D0D}"/>
            </c:ext>
          </c:extLst>
        </c:ser>
        <c:ser>
          <c:idx val="1"/>
          <c:order val="1"/>
          <c:tx>
            <c:strRef>
              <c:f>'例題4-13'!$A$3</c:f>
              <c:strCache>
                <c:ptCount val="1"/>
                <c:pt idx="0">
                  <c:v>読書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'例題4-13'!$B$1:$E$1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'例題4-13'!$B$3:$E$3</c:f>
              <c:numCache>
                <c:formatCode>General</c:formatCode>
                <c:ptCount val="4"/>
                <c:pt idx="0">
                  <c:v>6</c:v>
                </c:pt>
                <c:pt idx="1">
                  <c:v>33</c:v>
                </c:pt>
                <c:pt idx="2">
                  <c:v>14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F9-47D2-8DB1-64FF81852D0D}"/>
            </c:ext>
          </c:extLst>
        </c:ser>
        <c:ser>
          <c:idx val="2"/>
          <c:order val="2"/>
          <c:tx>
            <c:strRef>
              <c:f>'例題4-13'!$A$4</c:f>
              <c:strCache>
                <c:ptCount val="1"/>
                <c:pt idx="0">
                  <c:v>音楽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'例題4-13'!$B$1:$E$1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'例題4-13'!$B$4:$E$4</c:f>
              <c:numCache>
                <c:formatCode>General</c:formatCode>
                <c:ptCount val="4"/>
                <c:pt idx="0">
                  <c:v>9</c:v>
                </c:pt>
                <c:pt idx="1">
                  <c:v>7</c:v>
                </c:pt>
                <c:pt idx="2">
                  <c:v>29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F9-47D2-8DB1-64FF81852D0D}"/>
            </c:ext>
          </c:extLst>
        </c:ser>
        <c:ser>
          <c:idx val="3"/>
          <c:order val="3"/>
          <c:tx>
            <c:strRef>
              <c:f>'例題4-13'!$A$5</c:f>
              <c:strCache>
                <c:ptCount val="1"/>
                <c:pt idx="0">
                  <c:v>映画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'例題4-13'!$B$1:$E$1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'例題4-13'!$B$5:$E$5</c:f>
              <c:numCache>
                <c:formatCode>General</c:formatCode>
                <c:ptCount val="4"/>
                <c:pt idx="0">
                  <c:v>8</c:v>
                </c:pt>
                <c:pt idx="1">
                  <c:v>8</c:v>
                </c:pt>
                <c:pt idx="2">
                  <c:v>10</c:v>
                </c:pt>
                <c:pt idx="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F9-47D2-8DB1-64FF81852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クラスと趣味の帯グラフ（</a:t>
            </a:r>
            <a:r>
              <a:rPr lang="en-US" altLang="ja-JP" sz="1050">
                <a:latin typeface="+mn-ea"/>
                <a:ea typeface="+mn-ea"/>
              </a:rPr>
              <a:t>2</a:t>
            </a:r>
            <a:r>
              <a:rPr lang="ja-JP" altLang="en-US" sz="1050">
                <a:latin typeface="+mn-ea"/>
                <a:ea typeface="+mn-ea"/>
              </a:rPr>
              <a:t>）</a:t>
            </a:r>
            <a:endParaRPr lang="ja-JP" sz="1050"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31732033090260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'例題4-13'!$B$1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'例題4-13'!$A$2:$A$5</c:f>
              <c:strCache>
                <c:ptCount val="4"/>
                <c:pt idx="0">
                  <c:v>スポーツ</c:v>
                </c:pt>
                <c:pt idx="1">
                  <c:v>読書</c:v>
                </c:pt>
                <c:pt idx="2">
                  <c:v>音楽</c:v>
                </c:pt>
                <c:pt idx="3">
                  <c:v>映画</c:v>
                </c:pt>
              </c:strCache>
            </c:strRef>
          </c:cat>
          <c:val>
            <c:numRef>
              <c:f>'例題4-13'!$B$2:$B$5</c:f>
              <c:numCache>
                <c:formatCode>General</c:formatCode>
                <c:ptCount val="4"/>
                <c:pt idx="0">
                  <c:v>20</c:v>
                </c:pt>
                <c:pt idx="1">
                  <c:v>6</c:v>
                </c:pt>
                <c:pt idx="2">
                  <c:v>9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A4-40D0-A10F-36A64CA7BA18}"/>
            </c:ext>
          </c:extLst>
        </c:ser>
        <c:ser>
          <c:idx val="1"/>
          <c:order val="1"/>
          <c:tx>
            <c:strRef>
              <c:f>'例題4-13'!$C$1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'例題4-13'!$A$2:$A$5</c:f>
              <c:strCache>
                <c:ptCount val="4"/>
                <c:pt idx="0">
                  <c:v>スポーツ</c:v>
                </c:pt>
                <c:pt idx="1">
                  <c:v>読書</c:v>
                </c:pt>
                <c:pt idx="2">
                  <c:v>音楽</c:v>
                </c:pt>
                <c:pt idx="3">
                  <c:v>映画</c:v>
                </c:pt>
              </c:strCache>
            </c:strRef>
          </c:cat>
          <c:val>
            <c:numRef>
              <c:f>'例題4-13'!$C$2:$C$5</c:f>
              <c:numCache>
                <c:formatCode>General</c:formatCode>
                <c:ptCount val="4"/>
                <c:pt idx="0">
                  <c:v>6</c:v>
                </c:pt>
                <c:pt idx="1">
                  <c:v>33</c:v>
                </c:pt>
                <c:pt idx="2">
                  <c:v>7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A4-40D0-A10F-36A64CA7BA18}"/>
            </c:ext>
          </c:extLst>
        </c:ser>
        <c:ser>
          <c:idx val="2"/>
          <c:order val="2"/>
          <c:tx>
            <c:strRef>
              <c:f>'例題4-13'!$D$1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'例題4-13'!$A$2:$A$5</c:f>
              <c:strCache>
                <c:ptCount val="4"/>
                <c:pt idx="0">
                  <c:v>スポーツ</c:v>
                </c:pt>
                <c:pt idx="1">
                  <c:v>読書</c:v>
                </c:pt>
                <c:pt idx="2">
                  <c:v>音楽</c:v>
                </c:pt>
                <c:pt idx="3">
                  <c:v>映画</c:v>
                </c:pt>
              </c:strCache>
            </c:strRef>
          </c:cat>
          <c:val>
            <c:numRef>
              <c:f>'例題4-13'!$D$2:$D$5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29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A4-40D0-A10F-36A64CA7BA18}"/>
            </c:ext>
          </c:extLst>
        </c:ser>
        <c:ser>
          <c:idx val="3"/>
          <c:order val="3"/>
          <c:tx>
            <c:strRef>
              <c:f>'例題4-13'!$E$1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'例題4-13'!$A$2:$A$5</c:f>
              <c:strCache>
                <c:ptCount val="4"/>
                <c:pt idx="0">
                  <c:v>スポーツ</c:v>
                </c:pt>
                <c:pt idx="1">
                  <c:v>読書</c:v>
                </c:pt>
                <c:pt idx="2">
                  <c:v>音楽</c:v>
                </c:pt>
                <c:pt idx="3">
                  <c:v>映画</c:v>
                </c:pt>
              </c:strCache>
            </c:strRef>
          </c:cat>
          <c:val>
            <c:numRef>
              <c:f>'例題4-13'!$E$2:$E$5</c:f>
              <c:numCache>
                <c:formatCode>General</c:formatCode>
                <c:ptCount val="4"/>
                <c:pt idx="0">
                  <c:v>9</c:v>
                </c:pt>
                <c:pt idx="1">
                  <c:v>7</c:v>
                </c:pt>
                <c:pt idx="2">
                  <c:v>8</c:v>
                </c:pt>
                <c:pt idx="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A4-40D0-A10F-36A64CA7B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男</a:t>
            </a:r>
          </a:p>
        </c:rich>
      </c:tx>
      <c:layout>
        <c:manualLayout>
          <c:xMode val="edge"/>
          <c:yMode val="edge"/>
          <c:x val="0.49297935266314713"/>
          <c:y val="7.2340421492130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'例題4-14(2×M分割表)'!$A$2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'例題4-14(2×M分割表)'!$B$1:$F$1</c:f>
              <c:strCache>
                <c:ptCount val="5"/>
                <c:pt idx="0">
                  <c:v>不満</c:v>
                </c:pt>
                <c:pt idx="1">
                  <c:v>やや不満</c:v>
                </c:pt>
                <c:pt idx="2">
                  <c:v>どちらともいえない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'例題4-14(2×M分割表)'!$B$2:$F$2</c:f>
              <c:numCache>
                <c:formatCode>General</c:formatCode>
                <c:ptCount val="5"/>
                <c:pt idx="0">
                  <c:v>5</c:v>
                </c:pt>
                <c:pt idx="1">
                  <c:v>15</c:v>
                </c:pt>
                <c:pt idx="2">
                  <c:v>35</c:v>
                </c:pt>
                <c:pt idx="3">
                  <c:v>30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7D-4018-9958-D74CE0EC9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35856</xdr:rowOff>
    </xdr:from>
    <xdr:to>
      <xdr:col>11</xdr:col>
      <xdr:colOff>636494</xdr:colOff>
      <xdr:row>9</xdr:row>
      <xdr:rowOff>170327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7D21064-A53A-49F3-B569-96134EFD69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519954</xdr:colOff>
      <xdr:row>0</xdr:row>
      <xdr:rowOff>0</xdr:rowOff>
    </xdr:from>
    <xdr:to>
      <xdr:col>16</xdr:col>
      <xdr:colOff>484095</xdr:colOff>
      <xdr:row>9</xdr:row>
      <xdr:rowOff>134471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7CDFA0B-DEEC-402C-8196-5613EC33B7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358589</xdr:colOff>
      <xdr:row>8</xdr:row>
      <xdr:rowOff>17930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0CFC6A9-81CD-42BF-8ACE-2ED57C35D7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9</xdr:row>
      <xdr:rowOff>0</xdr:rowOff>
    </xdr:from>
    <xdr:to>
      <xdr:col>15</xdr:col>
      <xdr:colOff>358589</xdr:colOff>
      <xdr:row>18</xdr:row>
      <xdr:rowOff>8965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F152782-98D0-4CEF-96A5-CDBF001394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19</xdr:row>
      <xdr:rowOff>0</xdr:rowOff>
    </xdr:from>
    <xdr:to>
      <xdr:col>15</xdr:col>
      <xdr:colOff>358589</xdr:colOff>
      <xdr:row>28</xdr:row>
      <xdr:rowOff>8964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AD45DF3-52BE-4547-BDB1-49E12D7745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22</xdr:col>
      <xdr:colOff>259977</xdr:colOff>
      <xdr:row>15</xdr:row>
      <xdr:rowOff>107576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39BDCEFC-8308-456A-BD36-A923421EDC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11</xdr:col>
      <xdr:colOff>313765</xdr:colOff>
      <xdr:row>9</xdr:row>
      <xdr:rowOff>116541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952C4D0-AEE3-46AF-8286-873E5D454B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17929</xdr:colOff>
      <xdr:row>0</xdr:row>
      <xdr:rowOff>0</xdr:rowOff>
    </xdr:from>
    <xdr:to>
      <xdr:col>12</xdr:col>
      <xdr:colOff>421341</xdr:colOff>
      <xdr:row>13</xdr:row>
      <xdr:rowOff>35858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78781CB-5B54-4F82-B4F0-174F0F07BE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403411</xdr:colOff>
      <xdr:row>13</xdr:row>
      <xdr:rowOff>35858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D118F58-F66A-4B32-B9FC-31EBEFF8F6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663388</xdr:colOff>
      <xdr:row>4</xdr:row>
      <xdr:rowOff>26894</xdr:rowOff>
    </xdr:from>
    <xdr:to>
      <xdr:col>11</xdr:col>
      <xdr:colOff>869576</xdr:colOff>
      <xdr:row>17</xdr:row>
      <xdr:rowOff>62752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A8BDB77-AFF8-4172-A700-11E9DB1BD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0.02608</cdr:x>
      <cdr:y>0.03411</cdr:y>
    </cdr:from>
    <cdr:to>
      <cdr:x>0.20701</cdr:x>
      <cdr:y>0.12184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24AEED3-D37F-469B-BC59-40451F516D2B}"/>
            </a:ext>
          </a:extLst>
        </cdr:cNvPr>
        <cdr:cNvSpPr txBox="1"/>
      </cdr:nvSpPr>
      <cdr:spPr>
        <a:xfrm xmlns:a="http://schemas.openxmlformats.org/drawingml/2006/main">
          <a:off x="95623" y="104588"/>
          <a:ext cx="663388" cy="2689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510989</xdr:colOff>
      <xdr:row>13</xdr:row>
      <xdr:rowOff>35858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E9CFC97-9374-4771-9753-DA6C896F34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0</xdr:row>
      <xdr:rowOff>0</xdr:rowOff>
    </xdr:from>
    <xdr:to>
      <xdr:col>21</xdr:col>
      <xdr:colOff>510988</xdr:colOff>
      <xdr:row>13</xdr:row>
      <xdr:rowOff>35858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FD04317-7537-4399-BC0C-744F3F860B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358590</xdr:colOff>
      <xdr:row>8</xdr:row>
      <xdr:rowOff>17930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5410A0C-A318-41B8-A354-4DBF6C7D8B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9</xdr:row>
      <xdr:rowOff>0</xdr:rowOff>
    </xdr:from>
    <xdr:to>
      <xdr:col>15</xdr:col>
      <xdr:colOff>358590</xdr:colOff>
      <xdr:row>18</xdr:row>
      <xdr:rowOff>8965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F4D4096-2A6E-49EC-ACAD-541623646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152400</xdr:colOff>
      <xdr:row>0</xdr:row>
      <xdr:rowOff>8965</xdr:rowOff>
    </xdr:from>
    <xdr:to>
      <xdr:col>21</xdr:col>
      <xdr:colOff>582706</xdr:colOff>
      <xdr:row>15</xdr:row>
      <xdr:rowOff>116541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E01C20E-1DCB-4512-AF58-36AE56A39D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2&#314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1532;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例題2-1"/>
      <sheetName val="例題2-2"/>
      <sheetName val="例題2-3"/>
      <sheetName val="例題2-3 (ドットプロット)"/>
      <sheetName val="例題2-3 (幹葉図)"/>
    </sheetNames>
    <sheetDataSet>
      <sheetData sheetId="0">
        <row r="1">
          <cell r="I1" t="str">
            <v>度数（人）</v>
          </cell>
        </row>
        <row r="2">
          <cell r="G2" t="str">
            <v>男</v>
          </cell>
          <cell r="I2">
            <v>46</v>
          </cell>
        </row>
        <row r="3">
          <cell r="G3" t="str">
            <v>女</v>
          </cell>
          <cell r="I3">
            <v>34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例題3-1(分割表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10F8A-C429-42F5-A481-D5CA49237197}">
  <dimension ref="A1:H21"/>
  <sheetViews>
    <sheetView showGridLines="0" tabSelected="1" zoomScale="85" zoomScaleNormal="85" workbookViewId="0"/>
  </sheetViews>
  <sheetFormatPr defaultRowHeight="18" x14ac:dyDescent="0.45"/>
  <cols>
    <col min="1" max="2" width="8.796875" style="8"/>
    <col min="6" max="6" width="16.59765625" customWidth="1"/>
  </cols>
  <sheetData>
    <row r="1" spans="1:8" x14ac:dyDescent="0.45">
      <c r="A1" s="37" t="s">
        <v>4</v>
      </c>
      <c r="B1" s="7" t="s">
        <v>6</v>
      </c>
      <c r="F1" s="3"/>
      <c r="G1" s="13" t="s">
        <v>11</v>
      </c>
      <c r="H1" s="18" t="s">
        <v>12</v>
      </c>
    </row>
    <row r="2" spans="1:8" x14ac:dyDescent="0.45">
      <c r="A2" s="35">
        <v>12000</v>
      </c>
      <c r="B2" s="32">
        <v>9000</v>
      </c>
      <c r="F2" s="10" t="s">
        <v>7</v>
      </c>
      <c r="G2" s="14">
        <f>COUNT(A:A)</f>
        <v>20</v>
      </c>
      <c r="H2" s="19">
        <f>COUNT(B:B)</f>
        <v>20</v>
      </c>
    </row>
    <row r="3" spans="1:8" x14ac:dyDescent="0.45">
      <c r="A3" s="35">
        <v>19000</v>
      </c>
      <c r="B3" s="32">
        <v>14000</v>
      </c>
      <c r="F3" s="11" t="s">
        <v>8</v>
      </c>
      <c r="G3" s="15">
        <f>AVERAGE(A:A)</f>
        <v>23050</v>
      </c>
      <c r="H3" s="20">
        <f>AVERAGE(B:B)</f>
        <v>18300</v>
      </c>
    </row>
    <row r="4" spans="1:8" x14ac:dyDescent="0.45">
      <c r="A4" s="35">
        <v>9500</v>
      </c>
      <c r="B4" s="32">
        <v>6000</v>
      </c>
      <c r="F4" s="12" t="s">
        <v>9</v>
      </c>
      <c r="G4" s="16">
        <f>STDEV(A:A)</f>
        <v>10889.275264657133</v>
      </c>
      <c r="H4" s="21">
        <f>STDEV(B:B)</f>
        <v>10278.234540190153</v>
      </c>
    </row>
    <row r="5" spans="1:8" x14ac:dyDescent="0.45">
      <c r="A5" s="35">
        <v>31000</v>
      </c>
      <c r="B5" s="32">
        <v>28000</v>
      </c>
      <c r="F5" t="s">
        <v>10</v>
      </c>
      <c r="G5" s="9">
        <f>ABS(G3-H3)</f>
        <v>4750</v>
      </c>
      <c r="H5" s="9"/>
    </row>
    <row r="6" spans="1:8" x14ac:dyDescent="0.45">
      <c r="A6" s="35">
        <v>12500</v>
      </c>
      <c r="B6" s="32">
        <v>5500</v>
      </c>
    </row>
    <row r="7" spans="1:8" x14ac:dyDescent="0.45">
      <c r="A7" s="35">
        <v>21000</v>
      </c>
      <c r="B7" s="32">
        <v>16000</v>
      </c>
      <c r="F7" t="s">
        <v>13</v>
      </c>
    </row>
    <row r="8" spans="1:8" x14ac:dyDescent="0.45">
      <c r="A8" s="35">
        <v>20000</v>
      </c>
      <c r="B8" s="32">
        <v>15000</v>
      </c>
      <c r="F8" t="s">
        <v>14</v>
      </c>
    </row>
    <row r="9" spans="1:8" x14ac:dyDescent="0.45">
      <c r="A9" s="35">
        <v>18500</v>
      </c>
      <c r="B9" s="32">
        <v>7000</v>
      </c>
      <c r="F9" s="10" t="s">
        <v>15</v>
      </c>
      <c r="G9" s="24">
        <f>TTEST(A:A,B:B,2,2)</f>
        <v>0.16415340376657511</v>
      </c>
    </row>
    <row r="10" spans="1:8" x14ac:dyDescent="0.45">
      <c r="A10" s="35">
        <v>25000</v>
      </c>
      <c r="B10" s="32">
        <v>27000</v>
      </c>
      <c r="F10" s="12" t="s">
        <v>16</v>
      </c>
      <c r="G10" s="25">
        <f>TTEST(A:A,B:B,1,2)</f>
        <v>8.2076701883287556E-2</v>
      </c>
    </row>
    <row r="11" spans="1:8" x14ac:dyDescent="0.45">
      <c r="A11" s="35">
        <v>13000</v>
      </c>
      <c r="B11" s="32">
        <v>10000</v>
      </c>
      <c r="F11" t="s">
        <v>17</v>
      </c>
    </row>
    <row r="12" spans="1:8" x14ac:dyDescent="0.45">
      <c r="A12" s="35">
        <v>40000</v>
      </c>
      <c r="B12" s="32">
        <v>33500</v>
      </c>
      <c r="F12" s="10" t="s">
        <v>15</v>
      </c>
      <c r="G12" s="24">
        <f>TTEST(A:A,B:B,2,3)</f>
        <v>0.16418035175108525</v>
      </c>
    </row>
    <row r="13" spans="1:8" x14ac:dyDescent="0.45">
      <c r="A13" s="35">
        <v>33000</v>
      </c>
      <c r="B13" s="32">
        <v>30000</v>
      </c>
      <c r="F13" s="12" t="s">
        <v>16</v>
      </c>
      <c r="G13" s="25">
        <f>TTEST(A:A,B:B,1,3)</f>
        <v>8.2090175875542626E-2</v>
      </c>
    </row>
    <row r="14" spans="1:8" x14ac:dyDescent="0.45">
      <c r="A14" s="35">
        <v>50000</v>
      </c>
      <c r="B14" s="32">
        <v>32500</v>
      </c>
    </row>
    <row r="15" spans="1:8" x14ac:dyDescent="0.45">
      <c r="A15" s="35">
        <v>23000</v>
      </c>
      <c r="B15" s="32">
        <v>18000</v>
      </c>
      <c r="F15" t="s">
        <v>18</v>
      </c>
    </row>
    <row r="16" spans="1:8" x14ac:dyDescent="0.45">
      <c r="A16" s="35">
        <v>10500</v>
      </c>
      <c r="B16" s="32">
        <v>4000</v>
      </c>
      <c r="F16" s="17" t="s">
        <v>15</v>
      </c>
      <c r="G16" s="3">
        <f>FTEST(A:A,B:B)</f>
        <v>0.80384904941760482</v>
      </c>
    </row>
    <row r="17" spans="1:2" x14ac:dyDescent="0.45">
      <c r="A17" s="35">
        <v>22000</v>
      </c>
      <c r="B17" s="32">
        <v>17000</v>
      </c>
    </row>
    <row r="18" spans="1:2" x14ac:dyDescent="0.45">
      <c r="A18" s="35">
        <v>34000</v>
      </c>
      <c r="B18" s="32">
        <v>30500</v>
      </c>
    </row>
    <row r="19" spans="1:2" x14ac:dyDescent="0.45">
      <c r="A19" s="35">
        <v>11000</v>
      </c>
      <c r="B19" s="32">
        <v>8000</v>
      </c>
    </row>
    <row r="20" spans="1:2" x14ac:dyDescent="0.45">
      <c r="A20" s="35">
        <v>32000</v>
      </c>
      <c r="B20" s="32">
        <v>29000</v>
      </c>
    </row>
    <row r="21" spans="1:2" x14ac:dyDescent="0.45">
      <c r="A21" s="36">
        <v>24000</v>
      </c>
      <c r="B21" s="33">
        <v>26000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DD43F-F707-4A6D-8F34-1F9402D22983}">
  <dimension ref="A1:E12"/>
  <sheetViews>
    <sheetView showGridLines="0" zoomScale="85" zoomScaleNormal="85" workbookViewId="0">
      <selection activeCell="B27" sqref="B27"/>
    </sheetView>
  </sheetViews>
  <sheetFormatPr defaultRowHeight="18" x14ac:dyDescent="0.45"/>
  <cols>
    <col min="1" max="1" width="18.8984375" customWidth="1"/>
    <col min="3" max="3" width="9" customWidth="1"/>
  </cols>
  <sheetData>
    <row r="1" spans="1:5" x14ac:dyDescent="0.45">
      <c r="A1" s="17"/>
      <c r="B1" s="77"/>
      <c r="C1" s="46" t="s">
        <v>79</v>
      </c>
      <c r="D1" s="40" t="s">
        <v>80</v>
      </c>
      <c r="E1" s="40" t="s">
        <v>43</v>
      </c>
    </row>
    <row r="2" spans="1:5" x14ac:dyDescent="0.45">
      <c r="A2" s="11" t="s">
        <v>44</v>
      </c>
      <c r="B2" s="53" t="s">
        <v>45</v>
      </c>
      <c r="C2" s="11">
        <v>75</v>
      </c>
      <c r="D2" s="38">
        <v>55</v>
      </c>
      <c r="E2" s="38">
        <v>200</v>
      </c>
    </row>
    <row r="3" spans="1:5" x14ac:dyDescent="0.45">
      <c r="A3" s="69" t="s">
        <v>48</v>
      </c>
      <c r="B3" s="75" t="s">
        <v>63</v>
      </c>
      <c r="C3" s="12">
        <f>C2/E2</f>
        <v>0.375</v>
      </c>
      <c r="D3" s="23">
        <f>D2/E2</f>
        <v>0.27500000000000002</v>
      </c>
      <c r="E3" s="23"/>
    </row>
    <row r="4" spans="1:5" x14ac:dyDescent="0.45">
      <c r="A4" s="10" t="s">
        <v>82</v>
      </c>
      <c r="B4" s="73" t="s">
        <v>83</v>
      </c>
      <c r="C4" s="10">
        <f>C3-D3</f>
        <v>9.9999999999999978E-2</v>
      </c>
      <c r="D4" s="22"/>
    </row>
    <row r="5" spans="1:5" x14ac:dyDescent="0.45">
      <c r="A5" s="11" t="s">
        <v>84</v>
      </c>
      <c r="B5" s="66" t="s">
        <v>53</v>
      </c>
      <c r="C5" s="11">
        <v>0.05</v>
      </c>
      <c r="D5" s="38"/>
    </row>
    <row r="6" spans="1:5" x14ac:dyDescent="0.45">
      <c r="A6" s="11" t="s">
        <v>23</v>
      </c>
      <c r="B6" s="54" t="s">
        <v>85</v>
      </c>
      <c r="C6" s="81">
        <f>C4/SQRT((C3+D3)/E2)</f>
        <v>1.754116038614058</v>
      </c>
      <c r="D6" s="38"/>
    </row>
    <row r="7" spans="1:5" x14ac:dyDescent="0.45">
      <c r="A7" s="11" t="s">
        <v>86</v>
      </c>
      <c r="B7" s="62" t="s">
        <v>87</v>
      </c>
      <c r="C7" s="81">
        <f>NORMSINV(1-C5/2)</f>
        <v>1.9599639845400536</v>
      </c>
      <c r="D7" s="38"/>
    </row>
    <row r="8" spans="1:5" x14ac:dyDescent="0.45">
      <c r="A8" s="11" t="s">
        <v>88</v>
      </c>
      <c r="B8" s="62" t="s">
        <v>89</v>
      </c>
      <c r="C8" s="81">
        <f>NORMSINV(1-C5)</f>
        <v>1.6448536269514715</v>
      </c>
      <c r="D8" s="38"/>
    </row>
    <row r="9" spans="1:5" x14ac:dyDescent="0.45">
      <c r="A9" s="11" t="s">
        <v>90</v>
      </c>
      <c r="B9" s="62" t="s">
        <v>91</v>
      </c>
      <c r="C9" s="11">
        <f>NORMSINV(C5)</f>
        <v>-1.6448536269514726</v>
      </c>
      <c r="D9" s="38"/>
    </row>
    <row r="10" spans="1:5" x14ac:dyDescent="0.45">
      <c r="A10" s="11" t="s">
        <v>58</v>
      </c>
      <c r="B10" s="54" t="s">
        <v>59</v>
      </c>
      <c r="C10" s="81">
        <f>(1-NORMSDIST(ABS(C6)))*2</f>
        <v>7.9410625998942219E-2</v>
      </c>
      <c r="D10" s="38"/>
    </row>
    <row r="11" spans="1:5" x14ac:dyDescent="0.45">
      <c r="A11" s="11" t="s">
        <v>92</v>
      </c>
      <c r="B11" s="54" t="s">
        <v>59</v>
      </c>
      <c r="C11" s="81">
        <f>1-NORMSDIST(C6)</f>
        <v>3.970531299947111E-2</v>
      </c>
      <c r="D11" s="38"/>
    </row>
    <row r="12" spans="1:5" x14ac:dyDescent="0.45">
      <c r="A12" s="12" t="s">
        <v>93</v>
      </c>
      <c r="B12" s="56" t="s">
        <v>59</v>
      </c>
      <c r="C12" s="82">
        <f>NORMSDIST(C6)</f>
        <v>0.96029468700052889</v>
      </c>
      <c r="D12" s="23"/>
    </row>
  </sheetData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E82F1-183E-4960-B20C-DF9888D4E454}">
  <dimension ref="A1:E17"/>
  <sheetViews>
    <sheetView showGridLines="0" zoomScale="85" zoomScaleNormal="85" workbookViewId="0"/>
  </sheetViews>
  <sheetFormatPr defaultRowHeight="18" x14ac:dyDescent="0.45"/>
  <cols>
    <col min="1" max="1" width="18.8984375" customWidth="1"/>
    <col min="3" max="3" width="9" customWidth="1"/>
  </cols>
  <sheetData>
    <row r="1" spans="1:5" x14ac:dyDescent="0.45">
      <c r="A1" s="17"/>
      <c r="B1" s="77"/>
      <c r="C1" s="46" t="s">
        <v>94</v>
      </c>
      <c r="D1" s="40" t="s">
        <v>95</v>
      </c>
      <c r="E1" s="1"/>
    </row>
    <row r="2" spans="1:5" x14ac:dyDescent="0.45">
      <c r="A2" s="11" t="s">
        <v>28</v>
      </c>
      <c r="B2" s="53" t="s">
        <v>43</v>
      </c>
      <c r="C2" s="84">
        <v>200</v>
      </c>
      <c r="D2" s="4">
        <v>50</v>
      </c>
      <c r="E2" s="1"/>
    </row>
    <row r="3" spans="1:5" x14ac:dyDescent="0.45">
      <c r="A3" s="11" t="s">
        <v>44</v>
      </c>
      <c r="B3" s="53" t="s">
        <v>45</v>
      </c>
      <c r="C3" s="11">
        <v>110</v>
      </c>
      <c r="D3" s="38">
        <v>20</v>
      </c>
    </row>
    <row r="4" spans="1:5" x14ac:dyDescent="0.45">
      <c r="A4" s="69" t="s">
        <v>48</v>
      </c>
      <c r="B4" s="75" t="s">
        <v>63</v>
      </c>
      <c r="C4" s="69">
        <f>C3/C2</f>
        <v>0.55000000000000004</v>
      </c>
      <c r="D4" s="83">
        <f>D3/D2</f>
        <v>0.4</v>
      </c>
    </row>
    <row r="5" spans="1:5" x14ac:dyDescent="0.45">
      <c r="A5" s="72" t="s">
        <v>82</v>
      </c>
      <c r="B5" s="73" t="s">
        <v>96</v>
      </c>
      <c r="C5" s="72">
        <f>C4-D4</f>
        <v>0.15000000000000002</v>
      </c>
      <c r="D5" s="85"/>
    </row>
    <row r="6" spans="1:5" x14ac:dyDescent="0.45">
      <c r="A6" s="61" t="s">
        <v>84</v>
      </c>
      <c r="B6" s="66" t="s">
        <v>53</v>
      </c>
      <c r="C6" s="61">
        <v>0.05</v>
      </c>
      <c r="D6" s="63"/>
    </row>
    <row r="7" spans="1:5" x14ac:dyDescent="0.45">
      <c r="A7" s="61" t="s">
        <v>23</v>
      </c>
      <c r="B7" s="62" t="s">
        <v>97</v>
      </c>
      <c r="C7" s="86">
        <f>C5/SQRT(C4*(1-C4)*(C2-D2)/(C2*D2))</f>
        <v>2.4618298195866553</v>
      </c>
      <c r="D7" s="63"/>
    </row>
    <row r="8" spans="1:5" x14ac:dyDescent="0.45">
      <c r="A8" s="61" t="s">
        <v>86</v>
      </c>
      <c r="B8" s="62" t="s">
        <v>87</v>
      </c>
      <c r="C8" s="86">
        <f>NORMSINV(1-C6/2)</f>
        <v>1.9599639845400536</v>
      </c>
      <c r="D8" s="63"/>
    </row>
    <row r="9" spans="1:5" x14ac:dyDescent="0.45">
      <c r="A9" s="61" t="s">
        <v>88</v>
      </c>
      <c r="B9" s="62" t="s">
        <v>89</v>
      </c>
      <c r="C9" s="86">
        <f>NORMSINV(1-C6)</f>
        <v>1.6448536269514715</v>
      </c>
      <c r="D9" s="63"/>
    </row>
    <row r="10" spans="1:5" x14ac:dyDescent="0.45">
      <c r="A10" s="61" t="s">
        <v>90</v>
      </c>
      <c r="B10" s="62" t="s">
        <v>91</v>
      </c>
      <c r="C10" s="61">
        <f>NORMSINV(C6)</f>
        <v>-1.6448536269514726</v>
      </c>
      <c r="D10" s="63"/>
    </row>
    <row r="11" spans="1:5" x14ac:dyDescent="0.45">
      <c r="A11" s="61" t="s">
        <v>58</v>
      </c>
      <c r="B11" s="62" t="s">
        <v>98</v>
      </c>
      <c r="C11" s="86">
        <f>(1-NORMSDIST(ABS(C7)))*2</f>
        <v>1.3823023820376701E-2</v>
      </c>
      <c r="D11" s="63"/>
    </row>
    <row r="12" spans="1:5" x14ac:dyDescent="0.45">
      <c r="A12" s="61" t="s">
        <v>92</v>
      </c>
      <c r="B12" s="62" t="s">
        <v>98</v>
      </c>
      <c r="C12" s="86">
        <f>1-NORMSDIST(C7)</f>
        <v>6.9115119101883504E-3</v>
      </c>
      <c r="D12" s="63"/>
    </row>
    <row r="13" spans="1:5" x14ac:dyDescent="0.45">
      <c r="A13" s="69" t="s">
        <v>93</v>
      </c>
      <c r="B13" s="70" t="s">
        <v>98</v>
      </c>
      <c r="C13" s="87">
        <f>NORMSDIST(C7)</f>
        <v>0.99308848808981165</v>
      </c>
      <c r="D13" s="83"/>
    </row>
    <row r="14" spans="1:5" x14ac:dyDescent="0.45">
      <c r="A14" s="58"/>
      <c r="B14" s="58"/>
      <c r="C14" s="58"/>
      <c r="D14" s="58"/>
    </row>
    <row r="15" spans="1:5" x14ac:dyDescent="0.45">
      <c r="A15" s="58"/>
      <c r="B15" s="58"/>
      <c r="C15" s="58"/>
      <c r="D15" s="58"/>
    </row>
    <row r="16" spans="1:5" x14ac:dyDescent="0.45">
      <c r="A16" s="58"/>
      <c r="B16" s="58"/>
      <c r="C16" s="58"/>
      <c r="D16" s="58"/>
    </row>
    <row r="17" spans="1:4" x14ac:dyDescent="0.45">
      <c r="A17" s="58"/>
      <c r="B17" s="58"/>
      <c r="C17" s="58"/>
      <c r="D17" s="58"/>
    </row>
  </sheetData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6E4F3-7575-4D51-AE30-9925F44CB1BC}">
  <dimension ref="A1:F10"/>
  <sheetViews>
    <sheetView showGridLines="0" zoomScale="85" zoomScaleNormal="85" workbookViewId="0"/>
  </sheetViews>
  <sheetFormatPr defaultRowHeight="18" x14ac:dyDescent="0.45"/>
  <cols>
    <col min="1" max="7" width="10.59765625" customWidth="1"/>
  </cols>
  <sheetData>
    <row r="1" spans="1:6" ht="19.8" x14ac:dyDescent="0.45">
      <c r="A1" s="2" t="s">
        <v>99</v>
      </c>
      <c r="B1" s="2" t="s">
        <v>100</v>
      </c>
      <c r="C1" s="2" t="s">
        <v>101</v>
      </c>
      <c r="D1" s="2" t="s">
        <v>102</v>
      </c>
      <c r="E1" s="2" t="s">
        <v>103</v>
      </c>
      <c r="F1" s="2" t="s">
        <v>104</v>
      </c>
    </row>
    <row r="2" spans="1:6" x14ac:dyDescent="0.45">
      <c r="A2" s="2" t="s">
        <v>105</v>
      </c>
      <c r="B2" s="3">
        <v>3500</v>
      </c>
      <c r="C2" s="3">
        <f>B2/$B$6</f>
        <v>0.35</v>
      </c>
      <c r="D2" s="3">
        <v>77</v>
      </c>
      <c r="E2" s="3">
        <f>C2*$D$6</f>
        <v>70</v>
      </c>
      <c r="F2" s="88">
        <f>(D2-E2)^2/E2</f>
        <v>0.7</v>
      </c>
    </row>
    <row r="3" spans="1:6" x14ac:dyDescent="0.45">
      <c r="A3" s="2" t="s">
        <v>106</v>
      </c>
      <c r="B3" s="3">
        <v>3000</v>
      </c>
      <c r="C3" s="89">
        <f t="shared" ref="C3:C5" si="0">B3/$B$6</f>
        <v>0.3</v>
      </c>
      <c r="D3" s="3">
        <v>59</v>
      </c>
      <c r="E3" s="3">
        <f t="shared" ref="E3:E5" si="1">C3*$D$6</f>
        <v>60</v>
      </c>
      <c r="F3" s="88">
        <f t="shared" ref="F3:F5" si="2">(D3-E3)^2/E3</f>
        <v>1.6666666666666666E-2</v>
      </c>
    </row>
    <row r="4" spans="1:6" x14ac:dyDescent="0.45">
      <c r="A4" s="2" t="s">
        <v>107</v>
      </c>
      <c r="B4" s="3">
        <v>2000</v>
      </c>
      <c r="C4" s="89">
        <f t="shared" si="0"/>
        <v>0.2</v>
      </c>
      <c r="D4" s="3">
        <v>42</v>
      </c>
      <c r="E4" s="3">
        <f t="shared" si="1"/>
        <v>40</v>
      </c>
      <c r="F4" s="88">
        <f t="shared" si="2"/>
        <v>0.1</v>
      </c>
    </row>
    <row r="5" spans="1:6" x14ac:dyDescent="0.45">
      <c r="A5" s="2" t="s">
        <v>108</v>
      </c>
      <c r="B5" s="3">
        <v>1500</v>
      </c>
      <c r="C5" s="89">
        <f t="shared" si="0"/>
        <v>0.15</v>
      </c>
      <c r="D5" s="3">
        <v>22</v>
      </c>
      <c r="E5" s="3">
        <f t="shared" si="1"/>
        <v>30</v>
      </c>
      <c r="F5" s="88">
        <f t="shared" si="2"/>
        <v>2.1333333333333333</v>
      </c>
    </row>
    <row r="6" spans="1:6" x14ac:dyDescent="0.45">
      <c r="A6" s="2" t="s">
        <v>109</v>
      </c>
      <c r="B6" s="3">
        <f>SUM(B2:B5)</f>
        <v>10000</v>
      </c>
      <c r="C6" s="88">
        <f t="shared" ref="C6:E6" si="3">SUM(C2:C5)</f>
        <v>0.99999999999999989</v>
      </c>
      <c r="D6" s="3">
        <f t="shared" si="3"/>
        <v>200</v>
      </c>
      <c r="E6" s="3">
        <f t="shared" si="3"/>
        <v>200</v>
      </c>
      <c r="F6" s="3"/>
    </row>
    <row r="8" spans="1:6" x14ac:dyDescent="0.45">
      <c r="E8" s="90" t="s">
        <v>110</v>
      </c>
      <c r="F8" s="94">
        <f>SUM(F2:F5)</f>
        <v>2.95</v>
      </c>
    </row>
    <row r="9" spans="1:6" x14ac:dyDescent="0.45">
      <c r="E9" s="91" t="s">
        <v>111</v>
      </c>
      <c r="F9" s="34">
        <f>COUNT(D2:D5)-1</f>
        <v>3</v>
      </c>
    </row>
    <row r="10" spans="1:6" x14ac:dyDescent="0.45">
      <c r="E10" s="92" t="s">
        <v>59</v>
      </c>
      <c r="F10" s="95">
        <f>CHIDIST(F8,F9)</f>
        <v>0.39939861074285654</v>
      </c>
    </row>
  </sheetData>
  <phoneticPr fontId="2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2D2F7-D942-40EA-99A3-5864E2187D7A}">
  <dimension ref="A1:G13"/>
  <sheetViews>
    <sheetView showGridLines="0" zoomScale="85" zoomScaleNormal="85" workbookViewId="0"/>
  </sheetViews>
  <sheetFormatPr defaultRowHeight="18" x14ac:dyDescent="0.45"/>
  <cols>
    <col min="1" max="1" width="11" bestFit="1" customWidth="1"/>
    <col min="5" max="5" width="17.69921875" customWidth="1"/>
    <col min="6" max="6" width="8.8984375" bestFit="1" customWidth="1"/>
  </cols>
  <sheetData>
    <row r="1" spans="1:7" x14ac:dyDescent="0.45">
      <c r="A1" t="s">
        <v>115</v>
      </c>
    </row>
    <row r="2" spans="1:7" x14ac:dyDescent="0.45">
      <c r="A2" s="3"/>
      <c r="B2" s="2" t="s">
        <v>116</v>
      </c>
      <c r="C2" s="2" t="s">
        <v>117</v>
      </c>
      <c r="D2" s="2" t="s">
        <v>2</v>
      </c>
    </row>
    <row r="3" spans="1:7" x14ac:dyDescent="0.45">
      <c r="A3" s="3" t="s">
        <v>118</v>
      </c>
      <c r="B3" s="3">
        <v>457</v>
      </c>
      <c r="C3" s="3">
        <v>446</v>
      </c>
      <c r="D3" s="3">
        <f>B3+C3</f>
        <v>903</v>
      </c>
    </row>
    <row r="4" spans="1:7" x14ac:dyDescent="0.45">
      <c r="A4" s="3" t="s">
        <v>119</v>
      </c>
      <c r="B4" s="3">
        <v>43</v>
      </c>
      <c r="C4" s="3">
        <v>54</v>
      </c>
      <c r="D4" s="3">
        <f>B4+C4</f>
        <v>97</v>
      </c>
    </row>
    <row r="5" spans="1:7" x14ac:dyDescent="0.45">
      <c r="A5" s="3" t="s">
        <v>2</v>
      </c>
      <c r="B5" s="3">
        <f>B3+B4</f>
        <v>500</v>
      </c>
      <c r="C5" s="3">
        <f>C3+C4</f>
        <v>500</v>
      </c>
      <c r="D5" s="3">
        <f>SUM(B3:C4)</f>
        <v>1000</v>
      </c>
    </row>
    <row r="7" spans="1:7" x14ac:dyDescent="0.45">
      <c r="E7" s="10" t="s">
        <v>52</v>
      </c>
      <c r="F7" s="99" t="s">
        <v>53</v>
      </c>
      <c r="G7" s="24">
        <v>0.05</v>
      </c>
    </row>
    <row r="8" spans="1:7" x14ac:dyDescent="0.45">
      <c r="E8" s="11" t="s">
        <v>111</v>
      </c>
      <c r="F8" s="100" t="s">
        <v>120</v>
      </c>
      <c r="G8" s="34">
        <v>1</v>
      </c>
    </row>
    <row r="9" spans="1:7" x14ac:dyDescent="0.45">
      <c r="E9" s="11" t="s">
        <v>23</v>
      </c>
      <c r="F9" s="101" t="s">
        <v>121</v>
      </c>
      <c r="G9" s="105">
        <f>D5*(B3*C4-C3*B4)^2/((B3+C3)*(B4+C4)*(B3+B4)*(C3+C4))</f>
        <v>1.381420465572947</v>
      </c>
    </row>
    <row r="10" spans="1:7" x14ac:dyDescent="0.45">
      <c r="E10" s="11" t="s">
        <v>122</v>
      </c>
      <c r="F10" s="101" t="s">
        <v>121</v>
      </c>
      <c r="G10" s="105">
        <f>D5*(ABS(B3*C4-C3*B4)-D5/2)^2/((B3+C3)*(B4+C4)*(B3+B4)*(C3+C4))</f>
        <v>1.1416698062586339</v>
      </c>
    </row>
    <row r="11" spans="1:7" x14ac:dyDescent="0.45">
      <c r="E11" s="11" t="s">
        <v>123</v>
      </c>
      <c r="F11" s="101" t="s">
        <v>124</v>
      </c>
      <c r="G11" s="105">
        <f>CHIINV(G7,G8)</f>
        <v>3.8414588206941236</v>
      </c>
    </row>
    <row r="12" spans="1:7" x14ac:dyDescent="0.45">
      <c r="E12" s="11" t="s">
        <v>125</v>
      </c>
      <c r="F12" s="103" t="s">
        <v>126</v>
      </c>
      <c r="G12" s="105">
        <f>CHIDIST(G9,G8)</f>
        <v>0.23985933852052749</v>
      </c>
    </row>
    <row r="13" spans="1:7" x14ac:dyDescent="0.45">
      <c r="E13" s="12" t="s">
        <v>122</v>
      </c>
      <c r="F13" s="104" t="s">
        <v>126</v>
      </c>
      <c r="G13" s="95">
        <f>CHIDIST(G10,G8)</f>
        <v>0.28529976538668689</v>
      </c>
    </row>
  </sheetData>
  <phoneticPr fontId="2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9FB21-065A-4ABD-A674-D1328527668B}">
  <dimension ref="A1:H22"/>
  <sheetViews>
    <sheetView showGridLines="0" zoomScale="85" zoomScaleNormal="85" workbookViewId="0"/>
  </sheetViews>
  <sheetFormatPr defaultRowHeight="18" x14ac:dyDescent="0.45"/>
  <cols>
    <col min="1" max="1" width="17.296875" bestFit="1" customWidth="1"/>
    <col min="4" max="4" width="9" customWidth="1"/>
    <col min="5" max="5" width="8.8984375" bestFit="1" customWidth="1"/>
    <col min="7" max="8" width="12.59765625" customWidth="1"/>
  </cols>
  <sheetData>
    <row r="1" spans="1:8" x14ac:dyDescent="0.45">
      <c r="A1" t="s">
        <v>115</v>
      </c>
    </row>
    <row r="2" spans="1:8" x14ac:dyDescent="0.45">
      <c r="A2" s="3"/>
      <c r="B2" s="2" t="s">
        <v>0</v>
      </c>
      <c r="C2" s="2" t="s">
        <v>1</v>
      </c>
      <c r="D2" s="2" t="s">
        <v>2</v>
      </c>
    </row>
    <row r="3" spans="1:8" x14ac:dyDescent="0.45">
      <c r="A3" s="3" t="s">
        <v>128</v>
      </c>
      <c r="B3" s="3">
        <v>2</v>
      </c>
      <c r="C3" s="3">
        <v>8</v>
      </c>
      <c r="D3" s="3">
        <f>B3+C3</f>
        <v>10</v>
      </c>
    </row>
    <row r="4" spans="1:8" x14ac:dyDescent="0.45">
      <c r="A4" s="24" t="s">
        <v>129</v>
      </c>
      <c r="B4" s="24">
        <v>78</v>
      </c>
      <c r="C4" s="24">
        <v>82</v>
      </c>
      <c r="D4" s="3">
        <f t="shared" ref="D4" si="0">B4+C4</f>
        <v>160</v>
      </c>
    </row>
    <row r="5" spans="1:8" x14ac:dyDescent="0.45">
      <c r="A5" s="107" t="s">
        <v>2</v>
      </c>
      <c r="B5" s="3">
        <f>B3+B4</f>
        <v>80</v>
      </c>
      <c r="C5" s="3">
        <f>C3+C4</f>
        <v>90</v>
      </c>
      <c r="D5" s="3">
        <f>SUM(B3:C4)</f>
        <v>170</v>
      </c>
    </row>
    <row r="6" spans="1:8" x14ac:dyDescent="0.45">
      <c r="E6" s="96"/>
    </row>
    <row r="7" spans="1:8" ht="18.600000000000001" thickBot="1" x14ac:dyDescent="0.5">
      <c r="A7" s="17" t="s">
        <v>130</v>
      </c>
      <c r="B7" s="111" t="s">
        <v>114</v>
      </c>
      <c r="C7" s="108" t="s">
        <v>127</v>
      </c>
      <c r="E7" s="96"/>
    </row>
    <row r="8" spans="1:8" x14ac:dyDescent="0.45">
      <c r="A8" s="11"/>
      <c r="B8" s="109">
        <v>0</v>
      </c>
      <c r="C8" s="113">
        <f>HYPGEOMDIST(B8,$B$5,$D$3,$D$5)</f>
        <v>1.3485973854462715E-3</v>
      </c>
      <c r="E8" s="97"/>
    </row>
    <row r="9" spans="1:8" x14ac:dyDescent="0.45">
      <c r="A9" s="11"/>
      <c r="B9" s="109">
        <v>1</v>
      </c>
      <c r="C9" s="114">
        <f t="shared" ref="C9:C18" si="1">HYPGEOMDIST(B9,$B$5,$D$3,$D$5)</f>
        <v>1.3319480350086642E-2</v>
      </c>
      <c r="E9" s="97"/>
      <c r="F9" s="5"/>
    </row>
    <row r="10" spans="1:8" ht="18.600000000000001" thickBot="1" x14ac:dyDescent="0.5">
      <c r="A10" s="11"/>
      <c r="B10" s="109">
        <v>2</v>
      </c>
      <c r="C10" s="115">
        <f t="shared" si="1"/>
        <v>5.7744820298241413E-2</v>
      </c>
    </row>
    <row r="11" spans="1:8" x14ac:dyDescent="0.45">
      <c r="A11" s="11"/>
      <c r="B11" s="109">
        <v>3</v>
      </c>
      <c r="C11" s="51">
        <f t="shared" si="1"/>
        <v>0.1447099111088461</v>
      </c>
      <c r="G11" s="5"/>
      <c r="H11" s="106"/>
    </row>
    <row r="12" spans="1:8" x14ac:dyDescent="0.45">
      <c r="A12" s="11"/>
      <c r="B12" s="109">
        <v>4</v>
      </c>
      <c r="C12" s="51">
        <f t="shared" si="1"/>
        <v>0.23213881573710698</v>
      </c>
      <c r="G12" s="5"/>
      <c r="H12" s="98"/>
    </row>
    <row r="13" spans="1:8" x14ac:dyDescent="0.45">
      <c r="A13" s="11"/>
      <c r="B13" s="109">
        <v>5</v>
      </c>
      <c r="C13" s="51">
        <f t="shared" si="1"/>
        <v>0.24907129406146092</v>
      </c>
      <c r="G13" s="5"/>
    </row>
    <row r="14" spans="1:8" x14ac:dyDescent="0.45">
      <c r="A14" s="11"/>
      <c r="B14" s="109">
        <v>6</v>
      </c>
      <c r="C14" s="51">
        <f t="shared" si="1"/>
        <v>0.18101111487024812</v>
      </c>
      <c r="G14" s="5"/>
      <c r="H14" s="98"/>
    </row>
    <row r="15" spans="1:8" ht="18.600000000000001" thickBot="1" x14ac:dyDescent="0.5">
      <c r="A15" s="11"/>
      <c r="B15" s="109">
        <v>7</v>
      </c>
      <c r="C15" s="51">
        <f t="shared" si="1"/>
        <v>8.7979129723470093E-2</v>
      </c>
      <c r="G15" s="5"/>
      <c r="H15" s="98"/>
    </row>
    <row r="16" spans="1:8" x14ac:dyDescent="0.45">
      <c r="A16" s="11"/>
      <c r="B16" s="109">
        <v>8</v>
      </c>
      <c r="C16" s="113">
        <f t="shared" si="1"/>
        <v>2.7368507683863563E-2</v>
      </c>
      <c r="G16" s="5"/>
      <c r="H16" s="98"/>
    </row>
    <row r="17" spans="1:8" x14ac:dyDescent="0.45">
      <c r="A17" s="11"/>
      <c r="B17" s="109">
        <v>9</v>
      </c>
      <c r="C17" s="114">
        <f t="shared" si="1"/>
        <v>4.9201811566496507E-3</v>
      </c>
      <c r="G17" s="5"/>
      <c r="H17" s="98"/>
    </row>
    <row r="18" spans="1:8" ht="18.600000000000001" thickBot="1" x14ac:dyDescent="0.5">
      <c r="A18" s="12"/>
      <c r="B18" s="110">
        <v>10</v>
      </c>
      <c r="C18" s="115">
        <f t="shared" si="1"/>
        <v>3.8814762458013743E-4</v>
      </c>
      <c r="G18" s="5"/>
      <c r="H18" s="98"/>
    </row>
    <row r="19" spans="1:8" x14ac:dyDescent="0.45">
      <c r="G19" s="5"/>
      <c r="H19" s="98"/>
    </row>
    <row r="20" spans="1:8" x14ac:dyDescent="0.45">
      <c r="A20" s="10" t="s">
        <v>24</v>
      </c>
      <c r="B20" s="44">
        <f>SUM(C8:C10)</f>
        <v>7.241289803377432E-2</v>
      </c>
      <c r="G20" s="5"/>
      <c r="H20" s="98"/>
    </row>
    <row r="21" spans="1:8" x14ac:dyDescent="0.45">
      <c r="A21" s="112" t="s">
        <v>25</v>
      </c>
      <c r="B21" s="45">
        <f>SUM(C8:C10)+SUM(C16:C18)</f>
        <v>0.10508973449886766</v>
      </c>
      <c r="G21" s="5"/>
      <c r="H21" s="98"/>
    </row>
    <row r="22" spans="1:8" x14ac:dyDescent="0.45">
      <c r="B22" s="26"/>
    </row>
  </sheetData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74F4D-B50B-489D-8E97-D981D1C16FDF}">
  <dimension ref="A1:L11"/>
  <sheetViews>
    <sheetView showGridLines="0" zoomScale="85" zoomScaleNormal="85" workbookViewId="0"/>
  </sheetViews>
  <sheetFormatPr defaultRowHeight="18" x14ac:dyDescent="0.45"/>
  <cols>
    <col min="1" max="1" width="11" bestFit="1" customWidth="1"/>
    <col min="5" max="5" width="17.69921875" customWidth="1"/>
    <col min="6" max="6" width="8.8984375" bestFit="1" customWidth="1"/>
    <col min="10" max="10" width="21.3984375" bestFit="1" customWidth="1"/>
    <col min="11" max="11" width="15.19921875" bestFit="1" customWidth="1"/>
    <col min="12" max="12" width="17.296875" bestFit="1" customWidth="1"/>
  </cols>
  <sheetData>
    <row r="1" spans="1:12" x14ac:dyDescent="0.45">
      <c r="A1" t="s">
        <v>115</v>
      </c>
      <c r="J1" s="3"/>
      <c r="K1" s="3" t="s">
        <v>135</v>
      </c>
      <c r="L1" s="3" t="s">
        <v>136</v>
      </c>
    </row>
    <row r="2" spans="1:12" x14ac:dyDescent="0.45">
      <c r="A2" s="3"/>
      <c r="B2" s="2" t="s">
        <v>116</v>
      </c>
      <c r="C2" s="2" t="s">
        <v>131</v>
      </c>
      <c r="D2" s="2" t="s">
        <v>2</v>
      </c>
      <c r="J2" s="3" t="s">
        <v>133</v>
      </c>
      <c r="K2" s="3">
        <v>80</v>
      </c>
      <c r="L2" s="3">
        <v>40</v>
      </c>
    </row>
    <row r="3" spans="1:12" x14ac:dyDescent="0.45">
      <c r="A3" s="3" t="s">
        <v>117</v>
      </c>
      <c r="B3" s="3">
        <v>80</v>
      </c>
      <c r="C3" s="3">
        <v>40</v>
      </c>
      <c r="D3" s="3">
        <f>B3+C3</f>
        <v>120</v>
      </c>
      <c r="J3" s="3" t="s">
        <v>134</v>
      </c>
      <c r="K3" s="3">
        <v>80</v>
      </c>
      <c r="L3" s="3">
        <v>30</v>
      </c>
    </row>
    <row r="4" spans="1:12" x14ac:dyDescent="0.45">
      <c r="A4" s="3" t="s">
        <v>132</v>
      </c>
      <c r="B4" s="3">
        <v>30</v>
      </c>
      <c r="C4" s="3">
        <v>50</v>
      </c>
      <c r="D4" s="3">
        <f>B4+C4</f>
        <v>80</v>
      </c>
    </row>
    <row r="5" spans="1:12" x14ac:dyDescent="0.45">
      <c r="A5" s="3" t="s">
        <v>2</v>
      </c>
      <c r="B5" s="3">
        <f>B3+B4</f>
        <v>110</v>
      </c>
      <c r="C5" s="3">
        <f>C3+C4</f>
        <v>90</v>
      </c>
      <c r="D5" s="3">
        <f>SUM(B3:C4)</f>
        <v>200</v>
      </c>
    </row>
    <row r="7" spans="1:12" x14ac:dyDescent="0.45">
      <c r="E7" s="10" t="s">
        <v>52</v>
      </c>
      <c r="F7" s="99" t="s">
        <v>53</v>
      </c>
      <c r="G7" s="24">
        <v>0.05</v>
      </c>
    </row>
    <row r="8" spans="1:12" x14ac:dyDescent="0.45">
      <c r="E8" s="11" t="s">
        <v>111</v>
      </c>
      <c r="F8" s="100" t="s">
        <v>120</v>
      </c>
      <c r="G8" s="34">
        <v>1</v>
      </c>
    </row>
    <row r="9" spans="1:12" x14ac:dyDescent="0.45">
      <c r="E9" s="11" t="s">
        <v>23</v>
      </c>
      <c r="F9" s="101" t="s">
        <v>121</v>
      </c>
      <c r="G9" s="105">
        <f>(ABS(C3-B4)-1)^2/(C3+B4)</f>
        <v>1.1571428571428573</v>
      </c>
    </row>
    <row r="10" spans="1:12" x14ac:dyDescent="0.45">
      <c r="E10" s="11" t="s">
        <v>123</v>
      </c>
      <c r="F10" s="101" t="s">
        <v>124</v>
      </c>
      <c r="G10" s="105">
        <f>CHIINV(G7,G8)</f>
        <v>3.8414588206941236</v>
      </c>
    </row>
    <row r="11" spans="1:12" x14ac:dyDescent="0.45">
      <c r="E11" s="12" t="s">
        <v>125</v>
      </c>
      <c r="F11" s="104" t="s">
        <v>126</v>
      </c>
      <c r="G11" s="95">
        <f>CHIDIST(G9,G8)</f>
        <v>0.28205887576155886</v>
      </c>
    </row>
  </sheetData>
  <phoneticPr fontId="2"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5116E-086D-4DDB-8186-2E673E28DF15}">
  <dimension ref="A1:D13"/>
  <sheetViews>
    <sheetView showGridLines="0" zoomScale="85" zoomScaleNormal="85" workbookViewId="0"/>
  </sheetViews>
  <sheetFormatPr defaultRowHeight="18" x14ac:dyDescent="0.45"/>
  <cols>
    <col min="1" max="1" width="18.8984375" bestFit="1" customWidth="1"/>
    <col min="2" max="2" width="8.796875" style="96"/>
  </cols>
  <sheetData>
    <row r="1" spans="1:4" x14ac:dyDescent="0.45">
      <c r="A1" s="10" t="s">
        <v>28</v>
      </c>
      <c r="B1" s="99" t="s">
        <v>43</v>
      </c>
      <c r="C1" s="22">
        <v>70</v>
      </c>
    </row>
    <row r="2" spans="1:4" x14ac:dyDescent="0.45">
      <c r="A2" s="11" t="s">
        <v>44</v>
      </c>
      <c r="B2" s="100" t="s">
        <v>45</v>
      </c>
      <c r="C2" s="38">
        <v>30</v>
      </c>
    </row>
    <row r="3" spans="1:4" x14ac:dyDescent="0.45">
      <c r="A3" s="11" t="s">
        <v>46</v>
      </c>
      <c r="B3" s="100" t="s">
        <v>137</v>
      </c>
      <c r="C3" s="38">
        <v>40</v>
      </c>
    </row>
    <row r="4" spans="1:4" x14ac:dyDescent="0.45">
      <c r="A4" s="11" t="s">
        <v>48</v>
      </c>
      <c r="B4" s="100" t="s">
        <v>138</v>
      </c>
      <c r="C4" s="102">
        <f>C2/C1</f>
        <v>0.42857142857142855</v>
      </c>
    </row>
    <row r="5" spans="1:4" x14ac:dyDescent="0.45">
      <c r="A5" s="11" t="s">
        <v>50</v>
      </c>
      <c r="B5" s="100" t="s">
        <v>139</v>
      </c>
      <c r="C5" s="38">
        <v>0.5</v>
      </c>
    </row>
    <row r="6" spans="1:4" x14ac:dyDescent="0.45">
      <c r="A6" s="11" t="s">
        <v>52</v>
      </c>
      <c r="B6" s="100" t="s">
        <v>53</v>
      </c>
      <c r="C6" s="38">
        <v>0.05</v>
      </c>
    </row>
    <row r="7" spans="1:4" x14ac:dyDescent="0.45">
      <c r="A7" s="11" t="s">
        <v>54</v>
      </c>
      <c r="B7" s="100" t="s">
        <v>140</v>
      </c>
      <c r="C7" s="51">
        <f>BINOMDIST(C3-1,C1,C5,1)</f>
        <v>0.85901053910317171</v>
      </c>
    </row>
    <row r="8" spans="1:4" x14ac:dyDescent="0.45">
      <c r="A8" s="11" t="s">
        <v>54</v>
      </c>
      <c r="B8" s="100" t="s">
        <v>141</v>
      </c>
      <c r="C8" s="51">
        <f>BINOMDIST(C2,C1,C5,0)</f>
        <v>4.6881359385314139E-2</v>
      </c>
    </row>
    <row r="9" spans="1:4" x14ac:dyDescent="0.45">
      <c r="A9" s="12" t="s">
        <v>54</v>
      </c>
      <c r="B9" s="116" t="s">
        <v>142</v>
      </c>
      <c r="C9" s="43">
        <f>BINOMDIST(C2-1,C1,C5,1)</f>
        <v>9.4108101511513872E-2</v>
      </c>
    </row>
    <row r="11" spans="1:4" x14ac:dyDescent="0.45">
      <c r="A11" s="10" t="s">
        <v>58</v>
      </c>
      <c r="B11" s="99" t="s">
        <v>143</v>
      </c>
      <c r="C11" s="42">
        <f>(1-C7)*2</f>
        <v>0.28197892179365658</v>
      </c>
      <c r="D11" s="29">
        <f>BINOMDIST(C2,C1,C5,1)*2</f>
        <v>0.28197892179365658</v>
      </c>
    </row>
    <row r="12" spans="1:4" x14ac:dyDescent="0.45">
      <c r="A12" s="11" t="s">
        <v>92</v>
      </c>
      <c r="B12" s="100" t="s">
        <v>143</v>
      </c>
      <c r="C12" s="51">
        <f>1-C8</f>
        <v>0.95311864061468587</v>
      </c>
      <c r="D12" s="29">
        <f>1-BINOMDIST(C2,C1,C5,0)</f>
        <v>0.95311864061468587</v>
      </c>
    </row>
    <row r="13" spans="1:4" x14ac:dyDescent="0.45">
      <c r="A13" s="12" t="s">
        <v>93</v>
      </c>
      <c r="B13" s="116" t="s">
        <v>143</v>
      </c>
      <c r="C13" s="43">
        <f>1-C7</f>
        <v>0.14098946089682829</v>
      </c>
      <c r="D13" s="29">
        <f>BINOMDIST(C2,C1,C5,1)</f>
        <v>0.14098946089682829</v>
      </c>
    </row>
  </sheetData>
  <phoneticPr fontId="2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24F3C-E203-4C77-B864-406724D594D9}">
  <dimension ref="A1:F39"/>
  <sheetViews>
    <sheetView showGridLines="0" zoomScale="85" zoomScaleNormal="85" workbookViewId="0"/>
  </sheetViews>
  <sheetFormatPr defaultRowHeight="18" x14ac:dyDescent="0.45"/>
  <cols>
    <col min="1" max="1" width="13" bestFit="1" customWidth="1"/>
    <col min="3" max="3" width="9" customWidth="1"/>
    <col min="5" max="5" width="9" customWidth="1"/>
  </cols>
  <sheetData>
    <row r="1" spans="1:6" x14ac:dyDescent="0.45">
      <c r="A1" s="3"/>
      <c r="B1" s="2" t="s">
        <v>116</v>
      </c>
      <c r="C1" s="2" t="s">
        <v>117</v>
      </c>
      <c r="D1" s="2" t="s">
        <v>144</v>
      </c>
      <c r="E1" s="2" t="s">
        <v>145</v>
      </c>
      <c r="F1" s="2" t="s">
        <v>109</v>
      </c>
    </row>
    <row r="2" spans="1:6" x14ac:dyDescent="0.45">
      <c r="A2" s="3" t="s">
        <v>146</v>
      </c>
      <c r="B2" s="3">
        <v>20</v>
      </c>
      <c r="C2" s="3">
        <v>6</v>
      </c>
      <c r="D2" s="3">
        <v>7</v>
      </c>
      <c r="E2" s="3">
        <v>9</v>
      </c>
      <c r="F2" s="3">
        <f>SUM(B2:E2)</f>
        <v>42</v>
      </c>
    </row>
    <row r="3" spans="1:6" x14ac:dyDescent="0.45">
      <c r="A3" s="3" t="s">
        <v>147</v>
      </c>
      <c r="B3" s="3">
        <v>6</v>
      </c>
      <c r="C3" s="3">
        <v>33</v>
      </c>
      <c r="D3" s="3">
        <v>14</v>
      </c>
      <c r="E3" s="3">
        <v>7</v>
      </c>
      <c r="F3" s="3">
        <f t="shared" ref="F3:F5" si="0">SUM(B3:E3)</f>
        <v>60</v>
      </c>
    </row>
    <row r="4" spans="1:6" x14ac:dyDescent="0.45">
      <c r="A4" s="3" t="s">
        <v>148</v>
      </c>
      <c r="B4" s="3">
        <v>9</v>
      </c>
      <c r="C4" s="3">
        <v>7</v>
      </c>
      <c r="D4" s="3">
        <v>29</v>
      </c>
      <c r="E4" s="3">
        <v>8</v>
      </c>
      <c r="F4" s="3">
        <f t="shared" si="0"/>
        <v>53</v>
      </c>
    </row>
    <row r="5" spans="1:6" x14ac:dyDescent="0.45">
      <c r="A5" s="3" t="s">
        <v>149</v>
      </c>
      <c r="B5" s="3">
        <v>8</v>
      </c>
      <c r="C5" s="3">
        <v>8</v>
      </c>
      <c r="D5" s="3">
        <v>10</v>
      </c>
      <c r="E5" s="3">
        <v>24</v>
      </c>
      <c r="F5" s="3">
        <f t="shared" si="0"/>
        <v>50</v>
      </c>
    </row>
    <row r="6" spans="1:6" x14ac:dyDescent="0.45">
      <c r="A6" s="3" t="s">
        <v>109</v>
      </c>
      <c r="B6" s="3">
        <f>SUM(B2:B5)</f>
        <v>43</v>
      </c>
      <c r="C6" s="3">
        <f t="shared" ref="C6:E6" si="1">SUM(C2:C5)</f>
        <v>54</v>
      </c>
      <c r="D6" s="3">
        <f t="shared" si="1"/>
        <v>60</v>
      </c>
      <c r="E6" s="3">
        <f t="shared" si="1"/>
        <v>48</v>
      </c>
      <c r="F6" s="3">
        <f>SUM(B2:E5)</f>
        <v>205</v>
      </c>
    </row>
    <row r="8" spans="1:6" x14ac:dyDescent="0.45">
      <c r="A8" t="s">
        <v>150</v>
      </c>
    </row>
    <row r="9" spans="1:6" x14ac:dyDescent="0.45">
      <c r="A9" s="3"/>
      <c r="B9" s="2" t="s">
        <v>116</v>
      </c>
      <c r="C9" s="2" t="s">
        <v>117</v>
      </c>
      <c r="D9" s="2" t="s">
        <v>144</v>
      </c>
      <c r="E9" s="2" t="s">
        <v>145</v>
      </c>
    </row>
    <row r="10" spans="1:6" x14ac:dyDescent="0.45">
      <c r="A10" s="3" t="s">
        <v>146</v>
      </c>
      <c r="B10" s="6">
        <f>B$6*$F2/$F$6</f>
        <v>8.8097560975609763</v>
      </c>
      <c r="C10" s="6">
        <f t="shared" ref="C10:E10" si="2">C$6*$F2/$F$6</f>
        <v>11.063414634146341</v>
      </c>
      <c r="D10" s="6">
        <f t="shared" si="2"/>
        <v>12.292682926829269</v>
      </c>
      <c r="E10" s="6">
        <f t="shared" si="2"/>
        <v>9.8341463414634145</v>
      </c>
    </row>
    <row r="11" spans="1:6" x14ac:dyDescent="0.45">
      <c r="A11" s="3" t="s">
        <v>147</v>
      </c>
      <c r="B11" s="6">
        <f t="shared" ref="B11:E13" si="3">B$6*$F3/$F$6</f>
        <v>12.585365853658537</v>
      </c>
      <c r="C11" s="6">
        <f t="shared" si="3"/>
        <v>15.804878048780488</v>
      </c>
      <c r="D11" s="6">
        <f t="shared" si="3"/>
        <v>17.560975609756099</v>
      </c>
      <c r="E11" s="6">
        <f t="shared" si="3"/>
        <v>14.048780487804878</v>
      </c>
    </row>
    <row r="12" spans="1:6" x14ac:dyDescent="0.45">
      <c r="A12" s="3" t="s">
        <v>148</v>
      </c>
      <c r="B12" s="6">
        <f t="shared" si="3"/>
        <v>11.117073170731707</v>
      </c>
      <c r="C12" s="6">
        <f t="shared" si="3"/>
        <v>13.960975609756098</v>
      </c>
      <c r="D12" s="6">
        <f t="shared" si="3"/>
        <v>15.512195121951219</v>
      </c>
      <c r="E12" s="6">
        <f t="shared" si="3"/>
        <v>12.409756097560976</v>
      </c>
    </row>
    <row r="13" spans="1:6" x14ac:dyDescent="0.45">
      <c r="A13" s="3" t="s">
        <v>149</v>
      </c>
      <c r="B13" s="6">
        <f t="shared" si="3"/>
        <v>10.487804878048781</v>
      </c>
      <c r="C13" s="6">
        <f t="shared" si="3"/>
        <v>13.170731707317072</v>
      </c>
      <c r="D13" s="6">
        <f t="shared" si="3"/>
        <v>14.634146341463415</v>
      </c>
      <c r="E13" s="6">
        <f t="shared" si="3"/>
        <v>11.707317073170731</v>
      </c>
    </row>
    <row r="15" spans="1:6" x14ac:dyDescent="0.45">
      <c r="A15" t="s">
        <v>151</v>
      </c>
    </row>
    <row r="16" spans="1:6" x14ac:dyDescent="0.45">
      <c r="A16" s="3"/>
      <c r="B16" s="2" t="s">
        <v>116</v>
      </c>
      <c r="C16" s="2" t="s">
        <v>117</v>
      </c>
      <c r="D16" s="2" t="s">
        <v>144</v>
      </c>
      <c r="E16" s="2" t="s">
        <v>145</v>
      </c>
    </row>
    <row r="17" spans="1:5" x14ac:dyDescent="0.45">
      <c r="A17" s="3" t="s">
        <v>146</v>
      </c>
      <c r="B17" s="6">
        <f>(B2-B10)^2/B10</f>
        <v>14.213964292466843</v>
      </c>
      <c r="C17" s="6">
        <f t="shared" ref="C17:E17" si="4">(C2-C10)^2/C10</f>
        <v>2.3173828881145946</v>
      </c>
      <c r="D17" s="6">
        <f t="shared" si="4"/>
        <v>2.2787940379403797</v>
      </c>
      <c r="E17" s="6">
        <f t="shared" si="4"/>
        <v>7.0753484320557461E-2</v>
      </c>
    </row>
    <row r="18" spans="1:5" x14ac:dyDescent="0.45">
      <c r="A18" s="3" t="s">
        <v>147</v>
      </c>
      <c r="B18" s="6">
        <f t="shared" ref="B18:E20" si="5">(B3-B11)^2/B11</f>
        <v>3.4458309699376071</v>
      </c>
      <c r="C18" s="6">
        <f t="shared" si="5"/>
        <v>18.707655826558266</v>
      </c>
      <c r="D18" s="6">
        <f t="shared" si="5"/>
        <v>0.72208672086720915</v>
      </c>
      <c r="E18" s="6">
        <f t="shared" si="5"/>
        <v>3.5366277100271004</v>
      </c>
    </row>
    <row r="19" spans="1:5" x14ac:dyDescent="0.45">
      <c r="A19" s="3" t="s">
        <v>148</v>
      </c>
      <c r="B19" s="6">
        <f t="shared" si="5"/>
        <v>0.40316356125386615</v>
      </c>
      <c r="C19" s="6">
        <f t="shared" si="5"/>
        <v>3.4707589780300316</v>
      </c>
      <c r="D19" s="6">
        <f t="shared" si="5"/>
        <v>11.727603926982667</v>
      </c>
      <c r="E19" s="6">
        <f t="shared" si="5"/>
        <v>1.5669888019634914</v>
      </c>
    </row>
    <row r="20" spans="1:5" x14ac:dyDescent="0.45">
      <c r="A20" s="3" t="s">
        <v>149</v>
      </c>
      <c r="B20" s="6">
        <f t="shared" si="5"/>
        <v>0.59013045944412956</v>
      </c>
      <c r="C20" s="6">
        <f t="shared" si="5"/>
        <v>2.029990966576332</v>
      </c>
      <c r="D20" s="6">
        <f t="shared" si="5"/>
        <v>1.4674796747967482</v>
      </c>
      <c r="E20" s="6">
        <f>(E5-E13)^2/E13</f>
        <v>12.907317073170733</v>
      </c>
    </row>
    <row r="22" spans="1:5" x14ac:dyDescent="0.45">
      <c r="A22" s="10" t="s">
        <v>23</v>
      </c>
      <c r="B22" s="118" t="s">
        <v>121</v>
      </c>
      <c r="C22" s="119">
        <f>SUM(B17:E20)</f>
        <v>79.456529372450561</v>
      </c>
    </row>
    <row r="23" spans="1:5" x14ac:dyDescent="0.45">
      <c r="A23" s="11" t="s">
        <v>111</v>
      </c>
      <c r="B23" s="100" t="s">
        <v>120</v>
      </c>
      <c r="C23" s="120">
        <f>(COUNT(B2:B5)-1)*(COUNT(B2:E2)-1)</f>
        <v>9</v>
      </c>
    </row>
    <row r="24" spans="1:5" x14ac:dyDescent="0.45">
      <c r="A24" s="11" t="s">
        <v>52</v>
      </c>
      <c r="B24" s="100" t="s">
        <v>53</v>
      </c>
      <c r="C24" s="120">
        <v>0.05</v>
      </c>
    </row>
    <row r="25" spans="1:5" x14ac:dyDescent="0.45">
      <c r="A25" s="12" t="s">
        <v>125</v>
      </c>
      <c r="B25" s="116" t="s">
        <v>143</v>
      </c>
      <c r="C25" s="121">
        <f>CHIDIST(C22,C23)</f>
        <v>2.0720376868847064E-13</v>
      </c>
      <c r="E25" s="117">
        <f>CHITEST(B2:E5,B10:E13)</f>
        <v>2.0720376868847064E-13</v>
      </c>
    </row>
    <row r="27" spans="1:5" x14ac:dyDescent="0.45">
      <c r="A27" t="s">
        <v>152</v>
      </c>
    </row>
    <row r="28" spans="1:5" x14ac:dyDescent="0.45">
      <c r="A28" s="3"/>
      <c r="B28" s="2" t="s">
        <v>116</v>
      </c>
      <c r="C28" s="2" t="s">
        <v>117</v>
      </c>
      <c r="D28" s="2" t="s">
        <v>144</v>
      </c>
      <c r="E28" s="2" t="s">
        <v>145</v>
      </c>
    </row>
    <row r="29" spans="1:5" x14ac:dyDescent="0.45">
      <c r="A29" s="3" t="s">
        <v>146</v>
      </c>
      <c r="B29" s="6">
        <f>(B2-B10)/SQRT(B10)</f>
        <v>3.7701411502047031</v>
      </c>
      <c r="C29" s="6">
        <f t="shared" ref="C29:E29" si="6">(C2-C10)/SQRT(C10)</f>
        <v>-1.5222952696880441</v>
      </c>
      <c r="D29" s="6">
        <f t="shared" si="6"/>
        <v>-1.5095675002928421</v>
      </c>
      <c r="E29" s="6">
        <f t="shared" si="6"/>
        <v>-0.26599527123721106</v>
      </c>
    </row>
    <row r="30" spans="1:5" x14ac:dyDescent="0.45">
      <c r="A30" s="3" t="s">
        <v>147</v>
      </c>
      <c r="B30" s="6">
        <f t="shared" ref="B30:E32" si="7">(B3-B11)/SQRT(B11)</f>
        <v>-1.8562949576879226</v>
      </c>
      <c r="C30" s="6">
        <f t="shared" si="7"/>
        <v>4.3252347712648227</v>
      </c>
      <c r="D30" s="6">
        <f t="shared" si="7"/>
        <v>-0.8497568598529871</v>
      </c>
      <c r="E30" s="6">
        <f t="shared" si="7"/>
        <v>-1.8805923827419648</v>
      </c>
    </row>
    <row r="31" spans="1:5" x14ac:dyDescent="0.45">
      <c r="A31" s="3" t="s">
        <v>148</v>
      </c>
      <c r="B31" s="6">
        <f t="shared" si="7"/>
        <v>-0.63495162119161974</v>
      </c>
      <c r="C31" s="6">
        <f t="shared" si="7"/>
        <v>-1.8629973102583997</v>
      </c>
      <c r="D31" s="6">
        <f t="shared" si="7"/>
        <v>3.424558939043489</v>
      </c>
      <c r="E31" s="6">
        <f t="shared" si="7"/>
        <v>-1.2517942330764635</v>
      </c>
    </row>
    <row r="32" spans="1:5" x14ac:dyDescent="0.45">
      <c r="A32" s="3" t="s">
        <v>149</v>
      </c>
      <c r="B32" s="6">
        <f t="shared" si="7"/>
        <v>-0.76819949195773973</v>
      </c>
      <c r="C32" s="6">
        <f t="shared" si="7"/>
        <v>-1.4247775147637374</v>
      </c>
      <c r="D32" s="6">
        <f t="shared" si="7"/>
        <v>-1.2113957548203429</v>
      </c>
      <c r="E32" s="6">
        <f t="shared" si="7"/>
        <v>3.5926754756268666</v>
      </c>
    </row>
    <row r="34" spans="1:5" x14ac:dyDescent="0.45">
      <c r="A34" t="s">
        <v>153</v>
      </c>
    </row>
    <row r="35" spans="1:5" x14ac:dyDescent="0.45">
      <c r="A35" s="3"/>
      <c r="B35" s="2" t="s">
        <v>116</v>
      </c>
      <c r="C35" s="2" t="s">
        <v>117</v>
      </c>
      <c r="D35" s="2" t="s">
        <v>144</v>
      </c>
      <c r="E35" s="2" t="s">
        <v>145</v>
      </c>
    </row>
    <row r="36" spans="1:5" x14ac:dyDescent="0.45">
      <c r="A36" s="3" t="s">
        <v>146</v>
      </c>
      <c r="B36" s="6">
        <f>B29/SQRT((1-$F2/$F$6)*(1-B$6/$F$6))</f>
        <v>4.7562005810243395</v>
      </c>
      <c r="C36" s="6">
        <f t="shared" ref="C36:E36" si="8">C29/SQRT((1-$F2/$F$6)*(1-C$6/$F$6))</f>
        <v>-1.9891635068732216</v>
      </c>
      <c r="D36" s="6">
        <f t="shared" si="8"/>
        <v>-2.0129296408803077</v>
      </c>
      <c r="E36" s="6">
        <f t="shared" si="8"/>
        <v>-0.34086636445545254</v>
      </c>
    </row>
    <row r="37" spans="1:5" x14ac:dyDescent="0.45">
      <c r="A37" s="3" t="s">
        <v>147</v>
      </c>
      <c r="B37" s="6">
        <f t="shared" ref="B37:E39" si="9">B30/SQRT((1-$F3/$F$6)*(1-B$6/$F$6))</f>
        <v>-2.4829006241132836</v>
      </c>
      <c r="C37" s="6">
        <f t="shared" si="9"/>
        <v>5.9922658385184544</v>
      </c>
      <c r="D37" s="6">
        <f t="shared" si="9"/>
        <v>-1.2013803880680163</v>
      </c>
      <c r="E37" s="6">
        <f t="shared" si="9"/>
        <v>-2.5551400331944598</v>
      </c>
    </row>
    <row r="38" spans="1:5" x14ac:dyDescent="0.45">
      <c r="A38" s="3" t="s">
        <v>148</v>
      </c>
      <c r="B38" s="6">
        <f t="shared" si="9"/>
        <v>-0.82949771917598791</v>
      </c>
      <c r="C38" s="6">
        <f t="shared" si="9"/>
        <v>-2.520901178614543</v>
      </c>
      <c r="D38" s="6">
        <f t="shared" si="9"/>
        <v>4.728819215409457</v>
      </c>
      <c r="E38" s="6">
        <f t="shared" si="9"/>
        <v>-1.6611742380769621</v>
      </c>
    </row>
    <row r="39" spans="1:5" x14ac:dyDescent="0.45">
      <c r="A39" s="3" t="s">
        <v>149</v>
      </c>
      <c r="B39" s="6">
        <f t="shared" si="9"/>
        <v>-0.99381264962884597</v>
      </c>
      <c r="C39" s="6">
        <f t="shared" si="9"/>
        <v>-1.9091787462593881</v>
      </c>
      <c r="D39" s="6">
        <f t="shared" si="9"/>
        <v>-1.6564947288778642</v>
      </c>
      <c r="E39" s="6">
        <f t="shared" si="9"/>
        <v>4.7212410566784317</v>
      </c>
    </row>
  </sheetData>
  <phoneticPr fontId="2"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521CA-A750-41C2-91C2-E0A91E3A71B5}">
  <dimension ref="A1:F21"/>
  <sheetViews>
    <sheetView showGridLines="0" zoomScale="85" zoomScaleNormal="85" workbookViewId="0"/>
  </sheetViews>
  <sheetFormatPr defaultRowHeight="18" x14ac:dyDescent="0.45"/>
  <cols>
    <col min="1" max="1" width="14.69921875" bestFit="1" customWidth="1"/>
    <col min="2" max="6" width="11.09765625" customWidth="1"/>
  </cols>
  <sheetData>
    <row r="1" spans="1:6" ht="36" x14ac:dyDescent="0.45">
      <c r="A1" s="3"/>
      <c r="B1" s="2" t="s">
        <v>154</v>
      </c>
      <c r="C1" s="2" t="s">
        <v>155</v>
      </c>
      <c r="D1" s="122" t="s">
        <v>156</v>
      </c>
      <c r="E1" s="2" t="s">
        <v>157</v>
      </c>
      <c r="F1" s="2" t="s">
        <v>158</v>
      </c>
    </row>
    <row r="2" spans="1:6" x14ac:dyDescent="0.45">
      <c r="A2" s="3" t="s">
        <v>3</v>
      </c>
      <c r="B2" s="3">
        <v>5</v>
      </c>
      <c r="C2" s="3">
        <v>15</v>
      </c>
      <c r="D2" s="3">
        <v>35</v>
      </c>
      <c r="E2" s="3">
        <v>30</v>
      </c>
      <c r="F2" s="3">
        <v>15</v>
      </c>
    </row>
    <row r="3" spans="1:6" x14ac:dyDescent="0.45">
      <c r="A3" s="3" t="s">
        <v>5</v>
      </c>
      <c r="B3" s="3">
        <v>10</v>
      </c>
      <c r="C3" s="3">
        <v>25</v>
      </c>
      <c r="D3" s="3">
        <v>30</v>
      </c>
      <c r="E3" s="3">
        <v>25</v>
      </c>
      <c r="F3" s="3">
        <v>10</v>
      </c>
    </row>
    <row r="5" spans="1:6" x14ac:dyDescent="0.45">
      <c r="A5" s="10" t="s">
        <v>159</v>
      </c>
      <c r="B5" s="24">
        <f>SUM(B2:F2)</f>
        <v>100</v>
      </c>
    </row>
    <row r="6" spans="1:6" x14ac:dyDescent="0.45">
      <c r="A6" s="11" t="s">
        <v>160</v>
      </c>
      <c r="B6" s="34">
        <f>SUM(B3:F3)</f>
        <v>100</v>
      </c>
    </row>
    <row r="7" spans="1:6" x14ac:dyDescent="0.45">
      <c r="A7" s="11" t="s">
        <v>161</v>
      </c>
      <c r="B7" s="34">
        <f>B5+B6</f>
        <v>200</v>
      </c>
    </row>
    <row r="8" spans="1:6" x14ac:dyDescent="0.45">
      <c r="A8" s="11" t="s">
        <v>162</v>
      </c>
      <c r="B8" s="34">
        <f>IF(B5&lt;=B6,B5,B6)</f>
        <v>100</v>
      </c>
    </row>
    <row r="9" spans="1:6" x14ac:dyDescent="0.45">
      <c r="A9" s="11" t="s">
        <v>163</v>
      </c>
      <c r="B9" s="34">
        <f>B7-B8</f>
        <v>100</v>
      </c>
    </row>
    <row r="10" spans="1:6" x14ac:dyDescent="0.45">
      <c r="A10" s="10" t="s">
        <v>164</v>
      </c>
      <c r="B10" s="24">
        <f>B2+B3</f>
        <v>15</v>
      </c>
      <c r="C10" s="76">
        <f t="shared" ref="C10:F10" si="0">C2+C3</f>
        <v>40</v>
      </c>
      <c r="D10" s="24">
        <f t="shared" si="0"/>
        <v>65</v>
      </c>
      <c r="E10" s="76">
        <f t="shared" si="0"/>
        <v>55</v>
      </c>
      <c r="F10" s="24">
        <f t="shared" si="0"/>
        <v>25</v>
      </c>
    </row>
    <row r="11" spans="1:6" x14ac:dyDescent="0.45">
      <c r="A11" s="11" t="s">
        <v>165</v>
      </c>
      <c r="B11" s="34">
        <f>B10</f>
        <v>15</v>
      </c>
      <c r="C11" s="26">
        <f>C10+B11</f>
        <v>55</v>
      </c>
      <c r="D11" s="34">
        <f t="shared" ref="D11:F11" si="1">D10+C11</f>
        <v>120</v>
      </c>
      <c r="E11" s="26">
        <f t="shared" si="1"/>
        <v>175</v>
      </c>
      <c r="F11" s="34">
        <f t="shared" si="1"/>
        <v>200</v>
      </c>
    </row>
    <row r="12" spans="1:6" x14ac:dyDescent="0.45">
      <c r="A12" s="11" t="s">
        <v>166</v>
      </c>
      <c r="B12" s="34">
        <f>(1+B11)/2</f>
        <v>8</v>
      </c>
      <c r="C12" s="26">
        <f>(1+B11+C11)/2</f>
        <v>35.5</v>
      </c>
      <c r="D12" s="34">
        <f t="shared" ref="D12:F12" si="2">(1+C11+D11)/2</f>
        <v>88</v>
      </c>
      <c r="E12" s="26">
        <f t="shared" si="2"/>
        <v>148</v>
      </c>
      <c r="F12" s="34">
        <f t="shared" si="2"/>
        <v>188</v>
      </c>
    </row>
    <row r="13" spans="1:6" x14ac:dyDescent="0.45">
      <c r="A13" s="11" t="s">
        <v>41</v>
      </c>
      <c r="B13" s="34">
        <f>IF($B$5&lt;=$B$6,B2*B12,B3*B12)</f>
        <v>40</v>
      </c>
      <c r="C13" s="26">
        <f t="shared" ref="C13:F13" si="3">IF($B$5&lt;=$B$6,C2*C12,C3*C12)</f>
        <v>532.5</v>
      </c>
      <c r="D13" s="34">
        <f t="shared" si="3"/>
        <v>3080</v>
      </c>
      <c r="E13" s="26">
        <f t="shared" si="3"/>
        <v>4440</v>
      </c>
      <c r="F13" s="34">
        <f t="shared" si="3"/>
        <v>2820</v>
      </c>
    </row>
    <row r="14" spans="1:6" x14ac:dyDescent="0.45">
      <c r="A14" s="12" t="s">
        <v>167</v>
      </c>
      <c r="B14" s="25">
        <f>B10*(B10^2-1)</f>
        <v>3360</v>
      </c>
      <c r="C14" s="79">
        <f>C10*(C10^2-1)</f>
        <v>63960</v>
      </c>
      <c r="D14" s="25">
        <f>D10*(D10^2-1)</f>
        <v>274560</v>
      </c>
      <c r="E14" s="79">
        <f t="shared" ref="C14:F14" si="4">E10*(E10^2-1)</f>
        <v>166320</v>
      </c>
      <c r="F14" s="25">
        <f t="shared" si="4"/>
        <v>15600</v>
      </c>
    </row>
    <row r="15" spans="1:6" x14ac:dyDescent="0.45">
      <c r="A15" s="10" t="s">
        <v>168</v>
      </c>
      <c r="B15" s="123">
        <f>1-SUM(B14:F14)/(B7^3-B7)</f>
        <v>0.93452336308407713</v>
      </c>
    </row>
    <row r="16" spans="1:6" x14ac:dyDescent="0.45">
      <c r="A16" s="11" t="s">
        <v>169</v>
      </c>
      <c r="B16" s="34">
        <f>SUM(B13:F13)</f>
        <v>10912.5</v>
      </c>
    </row>
    <row r="17" spans="1:2" x14ac:dyDescent="0.45">
      <c r="A17" s="11" t="s">
        <v>170</v>
      </c>
      <c r="B17" s="34">
        <f>B8*(B7+1)/2</f>
        <v>10050</v>
      </c>
    </row>
    <row r="18" spans="1:2" x14ac:dyDescent="0.45">
      <c r="A18" s="11" t="s">
        <v>171</v>
      </c>
      <c r="B18" s="124">
        <f>B15*B8*B9*(B7+1)/12</f>
        <v>156532.66331658291</v>
      </c>
    </row>
    <row r="19" spans="1:2" x14ac:dyDescent="0.45">
      <c r="A19" s="11" t="s">
        <v>23</v>
      </c>
      <c r="B19" s="105">
        <f>(ABS(B16-B17)-1/2)/SQRT(B18)</f>
        <v>2.1787368481786773</v>
      </c>
    </row>
    <row r="20" spans="1:2" x14ac:dyDescent="0.45">
      <c r="A20" s="11" t="s">
        <v>172</v>
      </c>
      <c r="B20" s="105">
        <f>1-NORMSDIST(ABS(B19))</f>
        <v>1.4675611363346941E-2</v>
      </c>
    </row>
    <row r="21" spans="1:2" x14ac:dyDescent="0.45">
      <c r="A21" s="12" t="s">
        <v>58</v>
      </c>
      <c r="B21" s="95">
        <f>B20*2</f>
        <v>2.9351222726693882E-2</v>
      </c>
    </row>
  </sheetData>
  <phoneticPr fontId="2"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204B0-5EF9-4BDD-9DF6-E29052555A83}">
  <dimension ref="A1:F26"/>
  <sheetViews>
    <sheetView showGridLines="0" zoomScale="85" zoomScaleNormal="85" workbookViewId="0"/>
  </sheetViews>
  <sheetFormatPr defaultRowHeight="18" x14ac:dyDescent="0.45"/>
  <cols>
    <col min="1" max="1" width="13" bestFit="1" customWidth="1"/>
    <col min="2" max="6" width="11.09765625" customWidth="1"/>
  </cols>
  <sheetData>
    <row r="1" spans="1:6" ht="36" x14ac:dyDescent="0.45">
      <c r="A1" s="2"/>
      <c r="B1" s="2" t="s">
        <v>154</v>
      </c>
      <c r="C1" s="2" t="s">
        <v>155</v>
      </c>
      <c r="D1" s="122" t="s">
        <v>156</v>
      </c>
      <c r="E1" s="2" t="s">
        <v>157</v>
      </c>
      <c r="F1" s="2" t="s">
        <v>158</v>
      </c>
    </row>
    <row r="2" spans="1:6" x14ac:dyDescent="0.45">
      <c r="A2" s="3" t="s">
        <v>173</v>
      </c>
      <c r="B2" s="3">
        <v>6</v>
      </c>
      <c r="C2" s="3">
        <v>11</v>
      </c>
      <c r="D2" s="3">
        <v>16</v>
      </c>
      <c r="E2" s="3">
        <v>6</v>
      </c>
      <c r="F2" s="3">
        <v>11</v>
      </c>
    </row>
    <row r="3" spans="1:6" x14ac:dyDescent="0.45">
      <c r="A3" s="3" t="s">
        <v>174</v>
      </c>
      <c r="B3" s="3">
        <v>7</v>
      </c>
      <c r="C3" s="3">
        <v>8</v>
      </c>
      <c r="D3" s="3">
        <v>15</v>
      </c>
      <c r="E3" s="3">
        <v>14</v>
      </c>
      <c r="F3" s="3">
        <v>6</v>
      </c>
    </row>
    <row r="4" spans="1:6" x14ac:dyDescent="0.45">
      <c r="A4" s="3" t="s">
        <v>175</v>
      </c>
      <c r="B4" s="3">
        <v>15</v>
      </c>
      <c r="C4" s="3">
        <v>11</v>
      </c>
      <c r="D4" s="3">
        <v>13</v>
      </c>
      <c r="E4" s="3">
        <v>6</v>
      </c>
      <c r="F4" s="3">
        <v>5</v>
      </c>
    </row>
    <row r="6" spans="1:6" x14ac:dyDescent="0.45">
      <c r="A6" s="10" t="s">
        <v>176</v>
      </c>
      <c r="B6" s="22">
        <f>SUM(B2:F2)</f>
        <v>50</v>
      </c>
    </row>
    <row r="7" spans="1:6" x14ac:dyDescent="0.45">
      <c r="A7" s="11" t="s">
        <v>177</v>
      </c>
      <c r="B7" s="38">
        <f t="shared" ref="B7:B8" si="0">SUM(B3:F3)</f>
        <v>50</v>
      </c>
    </row>
    <row r="8" spans="1:6" x14ac:dyDescent="0.45">
      <c r="A8" s="11" t="s">
        <v>178</v>
      </c>
      <c r="B8" s="38">
        <f t="shared" si="0"/>
        <v>50</v>
      </c>
    </row>
    <row r="9" spans="1:6" x14ac:dyDescent="0.45">
      <c r="A9" s="11" t="s">
        <v>161</v>
      </c>
      <c r="B9" s="38">
        <f>B6+B7+B8</f>
        <v>150</v>
      </c>
    </row>
    <row r="10" spans="1:6" x14ac:dyDescent="0.45">
      <c r="A10" s="11" t="s">
        <v>162</v>
      </c>
      <c r="B10" s="38">
        <f>B6</f>
        <v>50</v>
      </c>
    </row>
    <row r="11" spans="1:6" x14ac:dyDescent="0.45">
      <c r="A11" s="11" t="s">
        <v>163</v>
      </c>
      <c r="B11" s="38">
        <f t="shared" ref="B11:B12" si="1">B7</f>
        <v>50</v>
      </c>
    </row>
    <row r="12" spans="1:6" x14ac:dyDescent="0.45">
      <c r="A12" s="11" t="s">
        <v>179</v>
      </c>
      <c r="B12" s="38">
        <f t="shared" si="1"/>
        <v>50</v>
      </c>
    </row>
    <row r="13" spans="1:6" x14ac:dyDescent="0.45">
      <c r="A13" s="10" t="s">
        <v>164</v>
      </c>
      <c r="B13" s="76">
        <f>B2+B3+B4</f>
        <v>28</v>
      </c>
      <c r="C13" s="76">
        <f t="shared" ref="C13:F13" si="2">C2+C3+C4</f>
        <v>30</v>
      </c>
      <c r="D13" s="76">
        <f t="shared" si="2"/>
        <v>44</v>
      </c>
      <c r="E13" s="76">
        <f t="shared" si="2"/>
        <v>26</v>
      </c>
      <c r="F13" s="22">
        <f t="shared" si="2"/>
        <v>22</v>
      </c>
    </row>
    <row r="14" spans="1:6" x14ac:dyDescent="0.45">
      <c r="A14" s="11" t="s">
        <v>165</v>
      </c>
      <c r="B14" s="26">
        <f>B13</f>
        <v>28</v>
      </c>
      <c r="C14" s="26">
        <f>C13+B14</f>
        <v>58</v>
      </c>
      <c r="D14" s="26">
        <f t="shared" ref="D14:F14" si="3">D13+C14</f>
        <v>102</v>
      </c>
      <c r="E14" s="26">
        <f t="shared" si="3"/>
        <v>128</v>
      </c>
      <c r="F14" s="38">
        <f t="shared" si="3"/>
        <v>150</v>
      </c>
    </row>
    <row r="15" spans="1:6" x14ac:dyDescent="0.45">
      <c r="A15" s="11" t="s">
        <v>166</v>
      </c>
      <c r="B15" s="26">
        <f>(1+B14)/2</f>
        <v>14.5</v>
      </c>
      <c r="C15" s="26">
        <f>(1+B14+C14)/2</f>
        <v>43.5</v>
      </c>
      <c r="D15" s="26">
        <f t="shared" ref="D15:F15" si="4">(1+C14+D14)/2</f>
        <v>80.5</v>
      </c>
      <c r="E15" s="26">
        <f t="shared" si="4"/>
        <v>115.5</v>
      </c>
      <c r="F15" s="38">
        <f t="shared" si="4"/>
        <v>139.5</v>
      </c>
    </row>
    <row r="16" spans="1:6" x14ac:dyDescent="0.45">
      <c r="A16" s="11" t="s">
        <v>180</v>
      </c>
      <c r="B16" s="26">
        <f>B2*B$15</f>
        <v>87</v>
      </c>
      <c r="C16" s="26">
        <f t="shared" ref="C16:F16" si="5">C2*C$15</f>
        <v>478.5</v>
      </c>
      <c r="D16" s="26">
        <f t="shared" si="5"/>
        <v>1288</v>
      </c>
      <c r="E16" s="26">
        <f t="shared" si="5"/>
        <v>693</v>
      </c>
      <c r="F16" s="38">
        <f t="shared" si="5"/>
        <v>1534.5</v>
      </c>
    </row>
    <row r="17" spans="1:6" x14ac:dyDescent="0.45">
      <c r="A17" s="11" t="s">
        <v>181</v>
      </c>
      <c r="B17" s="26">
        <f t="shared" ref="B17:F18" si="6">B3*B$15</f>
        <v>101.5</v>
      </c>
      <c r="C17" s="26">
        <f t="shared" si="6"/>
        <v>348</v>
      </c>
      <c r="D17" s="26">
        <f t="shared" si="6"/>
        <v>1207.5</v>
      </c>
      <c r="E17" s="26">
        <f t="shared" si="6"/>
        <v>1617</v>
      </c>
      <c r="F17" s="38">
        <f t="shared" si="6"/>
        <v>837</v>
      </c>
    </row>
    <row r="18" spans="1:6" x14ac:dyDescent="0.45">
      <c r="A18" s="12" t="s">
        <v>182</v>
      </c>
      <c r="B18" s="79">
        <f t="shared" si="6"/>
        <v>217.5</v>
      </c>
      <c r="C18" s="79">
        <f t="shared" si="6"/>
        <v>478.5</v>
      </c>
      <c r="D18" s="79">
        <f t="shared" si="6"/>
        <v>1046.5</v>
      </c>
      <c r="E18" s="79">
        <f t="shared" si="6"/>
        <v>693</v>
      </c>
      <c r="F18" s="23">
        <f t="shared" si="6"/>
        <v>697.5</v>
      </c>
    </row>
    <row r="19" spans="1:6" x14ac:dyDescent="0.45">
      <c r="A19" s="10" t="s">
        <v>183</v>
      </c>
      <c r="B19" s="22">
        <f>SUM(B16:F16)</f>
        <v>4081</v>
      </c>
      <c r="C19" s="26" t="s">
        <v>184</v>
      </c>
      <c r="D19" s="26">
        <f>B19*B19/B10</f>
        <v>333091.21999999997</v>
      </c>
      <c r="E19" s="26"/>
      <c r="F19" s="38"/>
    </row>
    <row r="20" spans="1:6" x14ac:dyDescent="0.45">
      <c r="A20" s="11" t="s">
        <v>185</v>
      </c>
      <c r="B20" s="38">
        <f t="shared" ref="B20:B21" si="7">SUM(B17:F17)</f>
        <v>4111</v>
      </c>
      <c r="C20" s="26" t="s">
        <v>186</v>
      </c>
      <c r="D20" s="26">
        <f>B20*B20/B11</f>
        <v>338006.42</v>
      </c>
      <c r="E20" s="26"/>
      <c r="F20" s="38"/>
    </row>
    <row r="21" spans="1:6" x14ac:dyDescent="0.45">
      <c r="A21" s="12" t="s">
        <v>187</v>
      </c>
      <c r="B21" s="23">
        <f t="shared" si="7"/>
        <v>3133</v>
      </c>
      <c r="C21" s="26" t="s">
        <v>188</v>
      </c>
      <c r="D21" s="26">
        <f t="shared" ref="D20:D21" si="8">B21*B21/B12</f>
        <v>196313.78</v>
      </c>
      <c r="E21" s="26"/>
      <c r="F21" s="38"/>
    </row>
    <row r="22" spans="1:6" x14ac:dyDescent="0.45">
      <c r="A22" s="17" t="s">
        <v>167</v>
      </c>
      <c r="B22" s="77">
        <f>B13*(B13^2-1)</f>
        <v>21924</v>
      </c>
      <c r="C22" s="77">
        <f t="shared" ref="C22:F22" si="9">C13*(C13^2-1)</f>
        <v>26970</v>
      </c>
      <c r="D22" s="77">
        <f t="shared" si="9"/>
        <v>85140</v>
      </c>
      <c r="E22" s="77">
        <f t="shared" si="9"/>
        <v>17550</v>
      </c>
      <c r="F22" s="125">
        <f t="shared" si="9"/>
        <v>10626</v>
      </c>
    </row>
    <row r="23" spans="1:6" x14ac:dyDescent="0.45">
      <c r="A23" s="10" t="s">
        <v>168</v>
      </c>
      <c r="B23" s="22">
        <f>1-SUM(B22:F22)/(B9^3-B9)</f>
        <v>0.9519356415840704</v>
      </c>
    </row>
    <row r="24" spans="1:6" x14ac:dyDescent="0.45">
      <c r="A24" s="11" t="s">
        <v>23</v>
      </c>
      <c r="B24" s="38">
        <f>(6/B23)*(2*SUM(D19:D21)/(B9*(B9+1))-(B9+1)/2)</f>
        <v>6.8867252353204149</v>
      </c>
    </row>
    <row r="25" spans="1:6" x14ac:dyDescent="0.45">
      <c r="A25" s="11" t="s">
        <v>111</v>
      </c>
      <c r="B25" s="38">
        <f>COUNT(B2:B4)-1</f>
        <v>2</v>
      </c>
    </row>
    <row r="26" spans="1:6" x14ac:dyDescent="0.45">
      <c r="A26" s="12" t="s">
        <v>125</v>
      </c>
      <c r="B26" s="93">
        <f>CHIDIST(B24,B25)</f>
        <v>3.195704512855161E-2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CFFD4-ADF3-4F52-8BB6-1C965856DF63}">
  <dimension ref="A1:H21"/>
  <sheetViews>
    <sheetView showGridLines="0" zoomScale="85" zoomScaleNormal="85" workbookViewId="0"/>
  </sheetViews>
  <sheetFormatPr defaultRowHeight="18" x14ac:dyDescent="0.45"/>
  <cols>
    <col min="1" max="2" width="8.796875" style="8"/>
    <col min="6" max="6" width="16.59765625" customWidth="1"/>
  </cols>
  <sheetData>
    <row r="1" spans="1:8" x14ac:dyDescent="0.45">
      <c r="A1" s="7" t="s">
        <v>4</v>
      </c>
      <c r="B1" s="7" t="s">
        <v>6</v>
      </c>
      <c r="C1" s="2" t="s">
        <v>19</v>
      </c>
      <c r="D1" s="2" t="s">
        <v>20</v>
      </c>
      <c r="F1" s="3"/>
      <c r="G1" s="13" t="s">
        <v>11</v>
      </c>
      <c r="H1" s="18" t="s">
        <v>12</v>
      </c>
    </row>
    <row r="2" spans="1:8" x14ac:dyDescent="0.45">
      <c r="A2" s="32">
        <v>12000</v>
      </c>
      <c r="B2" s="32">
        <v>9000</v>
      </c>
      <c r="C2" s="34">
        <f>RANK(A2,$A$2:$B$21,1)</f>
        <v>11</v>
      </c>
      <c r="D2" s="34">
        <f t="shared" ref="D2:D21" si="0">RANK(B2,$A$2:$B$21,1)</f>
        <v>6</v>
      </c>
      <c r="F2" s="10" t="s">
        <v>7</v>
      </c>
      <c r="G2" s="14">
        <f>COUNT(A:A)</f>
        <v>20</v>
      </c>
      <c r="H2" s="19">
        <f>COUNT(B:B)</f>
        <v>20</v>
      </c>
    </row>
    <row r="3" spans="1:8" x14ac:dyDescent="0.45">
      <c r="A3" s="32">
        <v>19000</v>
      </c>
      <c r="B3" s="32">
        <v>14000</v>
      </c>
      <c r="C3" s="34">
        <f t="shared" ref="C3:C21" si="1">RANK(A3,$A$2:$B$21,1)</f>
        <v>20</v>
      </c>
      <c r="D3" s="34">
        <f t="shared" si="0"/>
        <v>14</v>
      </c>
      <c r="F3" s="11" t="s">
        <v>21</v>
      </c>
      <c r="G3" s="15">
        <f>SUM(C:C)</f>
        <v>462</v>
      </c>
      <c r="H3" s="20">
        <f>SUM(D:D)</f>
        <v>358</v>
      </c>
    </row>
    <row r="4" spans="1:8" x14ac:dyDescent="0.45">
      <c r="A4" s="32">
        <v>9500</v>
      </c>
      <c r="B4" s="32">
        <v>6000</v>
      </c>
      <c r="C4" s="34">
        <f t="shared" si="1"/>
        <v>7</v>
      </c>
      <c r="D4" s="34">
        <f t="shared" si="0"/>
        <v>3</v>
      </c>
      <c r="F4" s="12" t="s">
        <v>22</v>
      </c>
      <c r="G4" s="16">
        <f>G3/G2</f>
        <v>23.1</v>
      </c>
      <c r="H4" s="21">
        <f>H3/H2</f>
        <v>17.899999999999999</v>
      </c>
    </row>
    <row r="5" spans="1:8" x14ac:dyDescent="0.45">
      <c r="A5" s="32">
        <v>31000</v>
      </c>
      <c r="B5" s="32">
        <v>28000</v>
      </c>
      <c r="C5" s="34">
        <f t="shared" si="1"/>
        <v>33</v>
      </c>
      <c r="D5" s="34">
        <f t="shared" si="0"/>
        <v>29</v>
      </c>
      <c r="F5" s="27" t="s">
        <v>23</v>
      </c>
      <c r="G5" s="9">
        <f>(G3-G2*(G2+H2+1)/2)/SQRT((G2*H2*(G2+H2+1)/12))</f>
        <v>1.4066046300811943</v>
      </c>
      <c r="H5" s="9"/>
    </row>
    <row r="6" spans="1:8" x14ac:dyDescent="0.45">
      <c r="A6" s="32">
        <v>12500</v>
      </c>
      <c r="B6" s="32">
        <v>5500</v>
      </c>
      <c r="C6" s="34">
        <f t="shared" si="1"/>
        <v>12</v>
      </c>
      <c r="D6" s="34">
        <f t="shared" si="0"/>
        <v>2</v>
      </c>
      <c r="F6" s="27" t="s">
        <v>24</v>
      </c>
      <c r="G6" s="5">
        <f>1-NORMSDIST(ABS(G5))</f>
        <v>7.977232968893444E-2</v>
      </c>
    </row>
    <row r="7" spans="1:8" x14ac:dyDescent="0.45">
      <c r="A7" s="32">
        <v>21000</v>
      </c>
      <c r="B7" s="32">
        <v>16000</v>
      </c>
      <c r="C7" s="34">
        <f t="shared" si="1"/>
        <v>22</v>
      </c>
      <c r="D7" s="34">
        <f t="shared" si="0"/>
        <v>16</v>
      </c>
      <c r="F7" s="27" t="s">
        <v>25</v>
      </c>
      <c r="G7" s="28">
        <f>2*G6</f>
        <v>0.15954465937786888</v>
      </c>
      <c r="H7" s="26"/>
    </row>
    <row r="8" spans="1:8" x14ac:dyDescent="0.45">
      <c r="A8" s="32">
        <v>20000</v>
      </c>
      <c r="B8" s="32">
        <v>15000</v>
      </c>
      <c r="C8" s="34">
        <f t="shared" si="1"/>
        <v>21</v>
      </c>
      <c r="D8" s="34">
        <f t="shared" si="0"/>
        <v>15</v>
      </c>
      <c r="F8" s="26"/>
      <c r="G8" s="26"/>
      <c r="H8" s="26"/>
    </row>
    <row r="9" spans="1:8" x14ac:dyDescent="0.45">
      <c r="A9" s="32">
        <v>18500</v>
      </c>
      <c r="B9" s="32">
        <v>7000</v>
      </c>
      <c r="C9" s="34">
        <f t="shared" si="1"/>
        <v>19</v>
      </c>
      <c r="D9" s="34">
        <f t="shared" si="0"/>
        <v>4</v>
      </c>
      <c r="F9" s="26"/>
      <c r="G9" s="26"/>
      <c r="H9" s="26"/>
    </row>
    <row r="10" spans="1:8" x14ac:dyDescent="0.45">
      <c r="A10" s="32">
        <v>25000</v>
      </c>
      <c r="B10" s="32">
        <v>27000</v>
      </c>
      <c r="C10" s="34">
        <f t="shared" si="1"/>
        <v>26</v>
      </c>
      <c r="D10" s="34">
        <f t="shared" si="0"/>
        <v>28</v>
      </c>
      <c r="F10" s="26"/>
      <c r="G10" s="26"/>
      <c r="H10" s="26"/>
    </row>
    <row r="11" spans="1:8" x14ac:dyDescent="0.45">
      <c r="A11" s="32">
        <v>13000</v>
      </c>
      <c r="B11" s="32">
        <v>10000</v>
      </c>
      <c r="C11" s="34">
        <f t="shared" si="1"/>
        <v>13</v>
      </c>
      <c r="D11" s="34">
        <f t="shared" si="0"/>
        <v>8</v>
      </c>
      <c r="F11" s="26"/>
      <c r="G11" s="26"/>
      <c r="H11" s="26"/>
    </row>
    <row r="12" spans="1:8" x14ac:dyDescent="0.45">
      <c r="A12" s="32">
        <v>40000</v>
      </c>
      <c r="B12" s="32">
        <v>33500</v>
      </c>
      <c r="C12" s="34">
        <f t="shared" si="1"/>
        <v>39</v>
      </c>
      <c r="D12" s="34">
        <f t="shared" si="0"/>
        <v>37</v>
      </c>
      <c r="F12" s="26"/>
      <c r="G12" s="26"/>
      <c r="H12" s="26"/>
    </row>
    <row r="13" spans="1:8" x14ac:dyDescent="0.45">
      <c r="A13" s="32">
        <v>33000</v>
      </c>
      <c r="B13" s="32">
        <v>30000</v>
      </c>
      <c r="C13" s="34">
        <f t="shared" si="1"/>
        <v>36</v>
      </c>
      <c r="D13" s="34">
        <f t="shared" si="0"/>
        <v>31</v>
      </c>
      <c r="F13" s="26"/>
      <c r="G13" s="26"/>
      <c r="H13" s="26"/>
    </row>
    <row r="14" spans="1:8" x14ac:dyDescent="0.45">
      <c r="A14" s="32">
        <v>50000</v>
      </c>
      <c r="B14" s="32">
        <v>32500</v>
      </c>
      <c r="C14" s="34">
        <f t="shared" si="1"/>
        <v>40</v>
      </c>
      <c r="D14" s="34">
        <f t="shared" si="0"/>
        <v>35</v>
      </c>
      <c r="F14" s="26"/>
      <c r="G14" s="26"/>
      <c r="H14" s="26"/>
    </row>
    <row r="15" spans="1:8" x14ac:dyDescent="0.45">
      <c r="A15" s="32">
        <v>23000</v>
      </c>
      <c r="B15" s="32">
        <v>18000</v>
      </c>
      <c r="C15" s="34">
        <f t="shared" si="1"/>
        <v>24</v>
      </c>
      <c r="D15" s="34">
        <f t="shared" si="0"/>
        <v>18</v>
      </c>
      <c r="F15" s="26"/>
      <c r="G15" s="26"/>
      <c r="H15" s="26"/>
    </row>
    <row r="16" spans="1:8" x14ac:dyDescent="0.45">
      <c r="A16" s="32">
        <v>10500</v>
      </c>
      <c r="B16" s="32">
        <v>4000</v>
      </c>
      <c r="C16" s="34">
        <f t="shared" si="1"/>
        <v>9</v>
      </c>
      <c r="D16" s="34">
        <f t="shared" si="0"/>
        <v>1</v>
      </c>
      <c r="F16" s="26"/>
      <c r="G16" s="26"/>
      <c r="H16" s="26"/>
    </row>
    <row r="17" spans="1:8" x14ac:dyDescent="0.45">
      <c r="A17" s="32">
        <v>22000</v>
      </c>
      <c r="B17" s="32">
        <v>17000</v>
      </c>
      <c r="C17" s="34">
        <f t="shared" si="1"/>
        <v>23</v>
      </c>
      <c r="D17" s="34">
        <f t="shared" si="0"/>
        <v>17</v>
      </c>
      <c r="F17" s="26"/>
      <c r="G17" s="26"/>
      <c r="H17" s="26"/>
    </row>
    <row r="18" spans="1:8" x14ac:dyDescent="0.45">
      <c r="A18" s="32">
        <v>34000</v>
      </c>
      <c r="B18" s="32">
        <v>30500</v>
      </c>
      <c r="C18" s="34">
        <f t="shared" si="1"/>
        <v>38</v>
      </c>
      <c r="D18" s="34">
        <f t="shared" si="0"/>
        <v>32</v>
      </c>
      <c r="F18" s="26"/>
      <c r="G18" s="26"/>
      <c r="H18" s="26"/>
    </row>
    <row r="19" spans="1:8" x14ac:dyDescent="0.45">
      <c r="A19" s="32">
        <v>11000</v>
      </c>
      <c r="B19" s="32">
        <v>8000</v>
      </c>
      <c r="C19" s="34">
        <f t="shared" si="1"/>
        <v>10</v>
      </c>
      <c r="D19" s="34">
        <f t="shared" si="0"/>
        <v>5</v>
      </c>
      <c r="F19" s="26"/>
      <c r="G19" s="26"/>
      <c r="H19" s="26"/>
    </row>
    <row r="20" spans="1:8" x14ac:dyDescent="0.45">
      <c r="A20" s="32">
        <v>32000</v>
      </c>
      <c r="B20" s="32">
        <v>29000</v>
      </c>
      <c r="C20" s="34">
        <f t="shared" si="1"/>
        <v>34</v>
      </c>
      <c r="D20" s="34">
        <f t="shared" si="0"/>
        <v>30</v>
      </c>
    </row>
    <row r="21" spans="1:8" x14ac:dyDescent="0.45">
      <c r="A21" s="33">
        <v>24000</v>
      </c>
      <c r="B21" s="33">
        <v>26000</v>
      </c>
      <c r="C21" s="25">
        <f t="shared" si="1"/>
        <v>25</v>
      </c>
      <c r="D21" s="25">
        <f t="shared" si="0"/>
        <v>27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1BCE9-2F42-4F35-BF4E-0FE02425297B}">
  <dimension ref="A1:H21"/>
  <sheetViews>
    <sheetView showGridLines="0" zoomScale="85" zoomScaleNormal="85" workbookViewId="0"/>
  </sheetViews>
  <sheetFormatPr defaultRowHeight="18" x14ac:dyDescent="0.45"/>
  <cols>
    <col min="6" max="6" width="16.09765625" customWidth="1"/>
  </cols>
  <sheetData>
    <row r="1" spans="1:8" x14ac:dyDescent="0.45">
      <c r="A1" s="2" t="s">
        <v>26</v>
      </c>
      <c r="B1" s="2" t="s">
        <v>27</v>
      </c>
      <c r="F1" s="17"/>
      <c r="G1" s="2" t="s">
        <v>26</v>
      </c>
      <c r="H1" s="40" t="s">
        <v>27</v>
      </c>
    </row>
    <row r="2" spans="1:8" x14ac:dyDescent="0.45">
      <c r="A2" s="30">
        <v>12000</v>
      </c>
      <c r="B2" s="30">
        <v>10000</v>
      </c>
      <c r="F2" s="11" t="s">
        <v>28</v>
      </c>
      <c r="G2" s="34">
        <f>COUNT(A:A)</f>
        <v>20</v>
      </c>
      <c r="H2" s="38">
        <f>COUNT(B:B)</f>
        <v>20</v>
      </c>
    </row>
    <row r="3" spans="1:8" x14ac:dyDescent="0.45">
      <c r="A3" s="30">
        <v>19000</v>
      </c>
      <c r="B3" s="30">
        <v>16000</v>
      </c>
      <c r="F3" s="11" t="s">
        <v>29</v>
      </c>
      <c r="G3" s="34">
        <f>AVERAGE(A:A)</f>
        <v>23050</v>
      </c>
      <c r="H3" s="38">
        <f>AVERAGE(B:B)</f>
        <v>26462.5</v>
      </c>
    </row>
    <row r="4" spans="1:8" x14ac:dyDescent="0.45">
      <c r="A4" s="30">
        <v>9500</v>
      </c>
      <c r="B4" s="30">
        <v>8000</v>
      </c>
      <c r="F4" s="12" t="s">
        <v>30</v>
      </c>
      <c r="G4" s="41">
        <f>STDEV(A:A)</f>
        <v>10889.275264657133</v>
      </c>
      <c r="H4" s="39">
        <f>STDEV(B:B)</f>
        <v>14662.491306588709</v>
      </c>
    </row>
    <row r="5" spans="1:8" x14ac:dyDescent="0.45">
      <c r="A5" s="30">
        <v>31000</v>
      </c>
      <c r="B5" s="30">
        <v>32400</v>
      </c>
      <c r="F5" t="s">
        <v>31</v>
      </c>
      <c r="G5">
        <f>ABS(G3-H3)</f>
        <v>3412.5</v>
      </c>
    </row>
    <row r="6" spans="1:8" x14ac:dyDescent="0.45">
      <c r="A6" s="30">
        <v>12500</v>
      </c>
      <c r="B6" s="30">
        <v>13800</v>
      </c>
    </row>
    <row r="7" spans="1:8" x14ac:dyDescent="0.45">
      <c r="A7" s="30">
        <v>21000</v>
      </c>
      <c r="B7" s="30">
        <v>22450</v>
      </c>
    </row>
    <row r="8" spans="1:8" x14ac:dyDescent="0.45">
      <c r="A8" s="30">
        <v>20000</v>
      </c>
      <c r="B8" s="30">
        <v>22500</v>
      </c>
      <c r="F8" t="s">
        <v>32</v>
      </c>
    </row>
    <row r="9" spans="1:8" x14ac:dyDescent="0.45">
      <c r="A9" s="30">
        <v>18500</v>
      </c>
      <c r="B9" s="30">
        <v>31000</v>
      </c>
      <c r="F9" s="10" t="s">
        <v>25</v>
      </c>
      <c r="G9" s="44">
        <f>TTEST(A:A,B:B,2,1)</f>
        <v>1.8553249422373332E-2</v>
      </c>
    </row>
    <row r="10" spans="1:8" x14ac:dyDescent="0.45">
      <c r="A10" s="30">
        <v>25000</v>
      </c>
      <c r="B10" s="30">
        <v>23100</v>
      </c>
      <c r="F10" s="12" t="s">
        <v>33</v>
      </c>
      <c r="G10" s="45">
        <f>TTEST(A:A,B:B,1,1)</f>
        <v>9.2766247111866658E-3</v>
      </c>
    </row>
    <row r="11" spans="1:8" x14ac:dyDescent="0.45">
      <c r="A11" s="30">
        <v>13000</v>
      </c>
      <c r="B11" s="30">
        <v>3000</v>
      </c>
    </row>
    <row r="12" spans="1:8" x14ac:dyDescent="0.45">
      <c r="A12" s="30">
        <v>40000</v>
      </c>
      <c r="B12" s="30">
        <v>52000</v>
      </c>
    </row>
    <row r="13" spans="1:8" x14ac:dyDescent="0.45">
      <c r="A13" s="30">
        <v>33000</v>
      </c>
      <c r="B13" s="30">
        <v>46000</v>
      </c>
    </row>
    <row r="14" spans="1:8" x14ac:dyDescent="0.45">
      <c r="A14" s="30">
        <v>50000</v>
      </c>
      <c r="B14" s="30">
        <v>53500</v>
      </c>
    </row>
    <row r="15" spans="1:8" x14ac:dyDescent="0.45">
      <c r="A15" s="30">
        <v>23000</v>
      </c>
      <c r="B15" s="30">
        <v>32500</v>
      </c>
    </row>
    <row r="16" spans="1:8" x14ac:dyDescent="0.45">
      <c r="A16" s="30">
        <v>10500</v>
      </c>
      <c r="B16" s="30">
        <v>10000</v>
      </c>
    </row>
    <row r="17" spans="1:2" x14ac:dyDescent="0.45">
      <c r="A17" s="30">
        <v>22000</v>
      </c>
      <c r="B17" s="30">
        <v>27000</v>
      </c>
    </row>
    <row r="18" spans="1:2" x14ac:dyDescent="0.45">
      <c r="A18" s="30">
        <v>34000</v>
      </c>
      <c r="B18" s="30">
        <v>38000</v>
      </c>
    </row>
    <row r="19" spans="1:2" x14ac:dyDescent="0.45">
      <c r="A19" s="30">
        <v>11000</v>
      </c>
      <c r="B19" s="30">
        <v>15500</v>
      </c>
    </row>
    <row r="20" spans="1:2" x14ac:dyDescent="0.45">
      <c r="A20" s="30">
        <v>32000</v>
      </c>
      <c r="B20" s="30">
        <v>40500</v>
      </c>
    </row>
    <row r="21" spans="1:2" x14ac:dyDescent="0.45">
      <c r="A21" s="30">
        <v>24000</v>
      </c>
      <c r="B21" s="30">
        <v>32000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781C2-815F-468F-B0EB-B2E30FB22180}">
  <dimension ref="A1:I21"/>
  <sheetViews>
    <sheetView showGridLines="0" zoomScale="85" zoomScaleNormal="85" workbookViewId="0"/>
  </sheetViews>
  <sheetFormatPr defaultRowHeight="18" x14ac:dyDescent="0.45"/>
  <cols>
    <col min="3" max="3" width="11" bestFit="1" customWidth="1"/>
    <col min="6" max="6" width="9" customWidth="1"/>
    <col min="8" max="8" width="16.09765625" customWidth="1"/>
  </cols>
  <sheetData>
    <row r="1" spans="1:9" x14ac:dyDescent="0.45">
      <c r="A1" s="2" t="s">
        <v>26</v>
      </c>
      <c r="B1" s="2" t="s">
        <v>27</v>
      </c>
      <c r="C1" s="2" t="s">
        <v>34</v>
      </c>
      <c r="D1" s="2" t="s">
        <v>35</v>
      </c>
      <c r="E1" s="2" t="s">
        <v>36</v>
      </c>
      <c r="F1" s="31" t="s">
        <v>37</v>
      </c>
      <c r="G1" s="31" t="s">
        <v>38</v>
      </c>
      <c r="H1" s="47" t="s">
        <v>39</v>
      </c>
      <c r="I1" s="22">
        <f>SUM(F:F)</f>
        <v>165</v>
      </c>
    </row>
    <row r="2" spans="1:9" x14ac:dyDescent="0.45">
      <c r="A2" s="30">
        <v>12000</v>
      </c>
      <c r="B2" s="30">
        <v>10000</v>
      </c>
      <c r="C2" s="30">
        <f>B2-A2</f>
        <v>-2000</v>
      </c>
      <c r="D2" s="3">
        <f>ABS(C2)</f>
        <v>2000</v>
      </c>
      <c r="E2" s="3">
        <f>IF(D2=0,"",RANK(D2,$D$2:$D$21,1)-COUNTIF($D$2:$D$21,0))</f>
        <v>7</v>
      </c>
      <c r="F2" s="26">
        <f>IF(C2&gt;0,E2,0)</f>
        <v>0</v>
      </c>
      <c r="G2" s="26">
        <f>IF(C2&lt;0,E2,0)</f>
        <v>7</v>
      </c>
      <c r="H2" s="48" t="s">
        <v>40</v>
      </c>
      <c r="I2" s="38">
        <f>SUM(G:G)</f>
        <v>45</v>
      </c>
    </row>
    <row r="3" spans="1:9" x14ac:dyDescent="0.45">
      <c r="A3" s="30">
        <v>19000</v>
      </c>
      <c r="B3" s="30">
        <v>16000</v>
      </c>
      <c r="C3" s="30">
        <f t="shared" ref="C3:C21" si="0">B3-A3</f>
        <v>-3000</v>
      </c>
      <c r="D3" s="3">
        <f t="shared" ref="D3:D21" si="1">ABS(C3)</f>
        <v>3000</v>
      </c>
      <c r="E3" s="3">
        <f t="shared" ref="E3:E21" si="2">IF(D3=0,"",RANK(D3,$D$2:$D$21,1)-COUNTIF($D$2:$D$21,0))</f>
        <v>9</v>
      </c>
      <c r="F3" s="26">
        <f t="shared" ref="F3:F21" si="3">IF(C3&gt;0,E3,0)</f>
        <v>0</v>
      </c>
      <c r="G3" s="26">
        <f t="shared" ref="G3:G21" si="4">IF(C3&lt;0,E3,0)</f>
        <v>9</v>
      </c>
      <c r="H3" s="48" t="s">
        <v>41</v>
      </c>
      <c r="I3" s="38">
        <f>IF(I1&gt;I2,I2,I1)</f>
        <v>45</v>
      </c>
    </row>
    <row r="4" spans="1:9" x14ac:dyDescent="0.45">
      <c r="A4" s="30">
        <v>9500</v>
      </c>
      <c r="B4" s="30">
        <v>8000</v>
      </c>
      <c r="C4" s="30">
        <f t="shared" si="0"/>
        <v>-1500</v>
      </c>
      <c r="D4" s="3">
        <f t="shared" si="1"/>
        <v>1500</v>
      </c>
      <c r="E4" s="3">
        <f t="shared" si="2"/>
        <v>5</v>
      </c>
      <c r="F4" s="26">
        <f t="shared" si="3"/>
        <v>0</v>
      </c>
      <c r="G4" s="26">
        <f t="shared" si="4"/>
        <v>5</v>
      </c>
      <c r="H4" s="49" t="s">
        <v>42</v>
      </c>
      <c r="I4" s="38">
        <f>COUNT(E:E)</f>
        <v>20</v>
      </c>
    </row>
    <row r="5" spans="1:9" x14ac:dyDescent="0.45">
      <c r="A5" s="30">
        <v>31000</v>
      </c>
      <c r="B5" s="30">
        <v>32400</v>
      </c>
      <c r="C5" s="30">
        <f t="shared" si="0"/>
        <v>1400</v>
      </c>
      <c r="D5" s="3">
        <f t="shared" si="1"/>
        <v>1400</v>
      </c>
      <c r="E5" s="3">
        <f t="shared" si="2"/>
        <v>3</v>
      </c>
      <c r="F5" s="26">
        <f t="shared" si="3"/>
        <v>3</v>
      </c>
      <c r="G5" s="26">
        <f t="shared" si="4"/>
        <v>0</v>
      </c>
      <c r="H5" s="48" t="s">
        <v>23</v>
      </c>
      <c r="I5" s="50">
        <f>(I3-I4*(I4+1)/4)/SQRT(I4*(I4+1)*(2*I4+1)/24)</f>
        <v>-2.2399601788396719</v>
      </c>
    </row>
    <row r="6" spans="1:9" x14ac:dyDescent="0.45">
      <c r="A6" s="30">
        <v>12500</v>
      </c>
      <c r="B6" s="30">
        <v>13800</v>
      </c>
      <c r="C6" s="30">
        <f t="shared" si="0"/>
        <v>1300</v>
      </c>
      <c r="D6" s="3">
        <f t="shared" si="1"/>
        <v>1300</v>
      </c>
      <c r="E6" s="3">
        <f t="shared" si="2"/>
        <v>2</v>
      </c>
      <c r="F6" s="26">
        <f t="shared" si="3"/>
        <v>2</v>
      </c>
      <c r="G6" s="26">
        <f t="shared" si="4"/>
        <v>0</v>
      </c>
      <c r="H6" s="11" t="s">
        <v>25</v>
      </c>
      <c r="I6" s="51">
        <f>NORMSDIST(I5)*2</f>
        <v>2.509350819808048E-2</v>
      </c>
    </row>
    <row r="7" spans="1:9" x14ac:dyDescent="0.45">
      <c r="A7" s="30">
        <v>21000</v>
      </c>
      <c r="B7" s="30">
        <v>22450</v>
      </c>
      <c r="C7" s="30">
        <f t="shared" si="0"/>
        <v>1450</v>
      </c>
      <c r="D7" s="3">
        <f t="shared" si="1"/>
        <v>1450</v>
      </c>
      <c r="E7" s="3">
        <f t="shared" si="2"/>
        <v>4</v>
      </c>
      <c r="F7" s="26">
        <f t="shared" si="3"/>
        <v>4</v>
      </c>
      <c r="G7" s="26">
        <f t="shared" si="4"/>
        <v>0</v>
      </c>
      <c r="H7" s="12" t="s">
        <v>33</v>
      </c>
      <c r="I7" s="43">
        <f>NORMSDIST(I5)</f>
        <v>1.254675409904024E-2</v>
      </c>
    </row>
    <row r="8" spans="1:9" x14ac:dyDescent="0.45">
      <c r="A8" s="30">
        <v>20000</v>
      </c>
      <c r="B8" s="30">
        <v>22500</v>
      </c>
      <c r="C8" s="30">
        <f t="shared" si="0"/>
        <v>2500</v>
      </c>
      <c r="D8" s="3">
        <f t="shared" si="1"/>
        <v>2500</v>
      </c>
      <c r="E8" s="3">
        <f t="shared" si="2"/>
        <v>8</v>
      </c>
      <c r="F8" s="26">
        <f t="shared" si="3"/>
        <v>8</v>
      </c>
      <c r="G8" s="26">
        <f t="shared" si="4"/>
        <v>0</v>
      </c>
    </row>
    <row r="9" spans="1:9" x14ac:dyDescent="0.45">
      <c r="A9" s="30">
        <v>18500</v>
      </c>
      <c r="B9" s="30">
        <v>31000</v>
      </c>
      <c r="C9" s="30">
        <f t="shared" si="0"/>
        <v>12500</v>
      </c>
      <c r="D9" s="3">
        <f t="shared" si="1"/>
        <v>12500</v>
      </c>
      <c r="E9" s="3">
        <f t="shared" si="2"/>
        <v>19</v>
      </c>
      <c r="F9" s="26">
        <f t="shared" si="3"/>
        <v>19</v>
      </c>
      <c r="G9" s="26">
        <f t="shared" si="4"/>
        <v>0</v>
      </c>
    </row>
    <row r="10" spans="1:9" x14ac:dyDescent="0.45">
      <c r="A10" s="30">
        <v>25000</v>
      </c>
      <c r="B10" s="30">
        <v>23100</v>
      </c>
      <c r="C10" s="30">
        <f t="shared" si="0"/>
        <v>-1900</v>
      </c>
      <c r="D10" s="3">
        <f t="shared" si="1"/>
        <v>1900</v>
      </c>
      <c r="E10" s="3">
        <f t="shared" si="2"/>
        <v>6</v>
      </c>
      <c r="F10" s="26">
        <f t="shared" si="3"/>
        <v>0</v>
      </c>
      <c r="G10" s="26">
        <f t="shared" si="4"/>
        <v>6</v>
      </c>
    </row>
    <row r="11" spans="1:9" x14ac:dyDescent="0.45">
      <c r="A11" s="30">
        <v>13000</v>
      </c>
      <c r="B11" s="30">
        <v>3000</v>
      </c>
      <c r="C11" s="30">
        <f t="shared" si="0"/>
        <v>-10000</v>
      </c>
      <c r="D11" s="3">
        <f t="shared" si="1"/>
        <v>10000</v>
      </c>
      <c r="E11" s="3">
        <f t="shared" si="2"/>
        <v>17</v>
      </c>
      <c r="F11" s="26">
        <f t="shared" si="3"/>
        <v>0</v>
      </c>
      <c r="G11" s="26">
        <f t="shared" si="4"/>
        <v>17</v>
      </c>
    </row>
    <row r="12" spans="1:9" x14ac:dyDescent="0.45">
      <c r="A12" s="30">
        <v>40000</v>
      </c>
      <c r="B12" s="30">
        <v>52000</v>
      </c>
      <c r="C12" s="30">
        <f t="shared" si="0"/>
        <v>12000</v>
      </c>
      <c r="D12" s="3">
        <f t="shared" si="1"/>
        <v>12000</v>
      </c>
      <c r="E12" s="3">
        <f t="shared" si="2"/>
        <v>18</v>
      </c>
      <c r="F12" s="26">
        <f t="shared" si="3"/>
        <v>18</v>
      </c>
      <c r="G12" s="26">
        <f t="shared" si="4"/>
        <v>0</v>
      </c>
    </row>
    <row r="13" spans="1:9" x14ac:dyDescent="0.45">
      <c r="A13" s="30">
        <v>33000</v>
      </c>
      <c r="B13" s="30">
        <v>46000</v>
      </c>
      <c r="C13" s="30">
        <f t="shared" si="0"/>
        <v>13000</v>
      </c>
      <c r="D13" s="3">
        <f t="shared" si="1"/>
        <v>13000</v>
      </c>
      <c r="E13" s="3">
        <f t="shared" si="2"/>
        <v>20</v>
      </c>
      <c r="F13" s="26">
        <f t="shared" si="3"/>
        <v>20</v>
      </c>
      <c r="G13" s="26">
        <f t="shared" si="4"/>
        <v>0</v>
      </c>
    </row>
    <row r="14" spans="1:9" x14ac:dyDescent="0.45">
      <c r="A14" s="30">
        <v>50000</v>
      </c>
      <c r="B14" s="30">
        <v>53500</v>
      </c>
      <c r="C14" s="30">
        <f t="shared" si="0"/>
        <v>3500</v>
      </c>
      <c r="D14" s="3">
        <f t="shared" si="1"/>
        <v>3500</v>
      </c>
      <c r="E14" s="3">
        <f t="shared" si="2"/>
        <v>10</v>
      </c>
      <c r="F14" s="26">
        <f t="shared" si="3"/>
        <v>10</v>
      </c>
      <c r="G14" s="26">
        <f t="shared" si="4"/>
        <v>0</v>
      </c>
    </row>
    <row r="15" spans="1:9" x14ac:dyDescent="0.45">
      <c r="A15" s="30">
        <v>23000</v>
      </c>
      <c r="B15" s="30">
        <v>32500</v>
      </c>
      <c r="C15" s="30">
        <f t="shared" si="0"/>
        <v>9500</v>
      </c>
      <c r="D15" s="3">
        <f t="shared" si="1"/>
        <v>9500</v>
      </c>
      <c r="E15" s="3">
        <f t="shared" si="2"/>
        <v>16</v>
      </c>
      <c r="F15" s="26">
        <f t="shared" si="3"/>
        <v>16</v>
      </c>
      <c r="G15" s="26">
        <f t="shared" si="4"/>
        <v>0</v>
      </c>
    </row>
    <row r="16" spans="1:9" x14ac:dyDescent="0.45">
      <c r="A16" s="30">
        <v>10500</v>
      </c>
      <c r="B16" s="30">
        <v>10000</v>
      </c>
      <c r="C16" s="30">
        <f t="shared" si="0"/>
        <v>-500</v>
      </c>
      <c r="D16" s="3">
        <f t="shared" si="1"/>
        <v>500</v>
      </c>
      <c r="E16" s="3">
        <f t="shared" si="2"/>
        <v>1</v>
      </c>
      <c r="F16" s="26">
        <f t="shared" si="3"/>
        <v>0</v>
      </c>
      <c r="G16" s="26">
        <f t="shared" si="4"/>
        <v>1</v>
      </c>
    </row>
    <row r="17" spans="1:7" x14ac:dyDescent="0.45">
      <c r="A17" s="30">
        <v>22000</v>
      </c>
      <c r="B17" s="30">
        <v>27000</v>
      </c>
      <c r="C17" s="30">
        <f t="shared" si="0"/>
        <v>5000</v>
      </c>
      <c r="D17" s="3">
        <f t="shared" si="1"/>
        <v>5000</v>
      </c>
      <c r="E17" s="3">
        <f t="shared" si="2"/>
        <v>13</v>
      </c>
      <c r="F17" s="26">
        <f t="shared" si="3"/>
        <v>13</v>
      </c>
      <c r="G17" s="26">
        <f t="shared" si="4"/>
        <v>0</v>
      </c>
    </row>
    <row r="18" spans="1:7" x14ac:dyDescent="0.45">
      <c r="A18" s="30">
        <v>34000</v>
      </c>
      <c r="B18" s="30">
        <v>38000</v>
      </c>
      <c r="C18" s="30">
        <f t="shared" si="0"/>
        <v>4000</v>
      </c>
      <c r="D18" s="3">
        <f t="shared" si="1"/>
        <v>4000</v>
      </c>
      <c r="E18" s="3">
        <f t="shared" si="2"/>
        <v>11</v>
      </c>
      <c r="F18" s="26">
        <f t="shared" si="3"/>
        <v>11</v>
      </c>
      <c r="G18" s="26">
        <f t="shared" si="4"/>
        <v>0</v>
      </c>
    </row>
    <row r="19" spans="1:7" x14ac:dyDescent="0.45">
      <c r="A19" s="30">
        <v>11000</v>
      </c>
      <c r="B19" s="30">
        <v>15500</v>
      </c>
      <c r="C19" s="30">
        <f t="shared" si="0"/>
        <v>4500</v>
      </c>
      <c r="D19" s="3">
        <f t="shared" si="1"/>
        <v>4500</v>
      </c>
      <c r="E19" s="3">
        <f t="shared" si="2"/>
        <v>12</v>
      </c>
      <c r="F19" s="26">
        <f t="shared" si="3"/>
        <v>12</v>
      </c>
      <c r="G19" s="26">
        <f t="shared" si="4"/>
        <v>0</v>
      </c>
    </row>
    <row r="20" spans="1:7" x14ac:dyDescent="0.45">
      <c r="A20" s="30">
        <v>32000</v>
      </c>
      <c r="B20" s="30">
        <v>40500</v>
      </c>
      <c r="C20" s="30">
        <f t="shared" si="0"/>
        <v>8500</v>
      </c>
      <c r="D20" s="3">
        <f t="shared" si="1"/>
        <v>8500</v>
      </c>
      <c r="E20" s="3">
        <f t="shared" si="2"/>
        <v>15</v>
      </c>
      <c r="F20" s="26">
        <f t="shared" si="3"/>
        <v>15</v>
      </c>
      <c r="G20" s="26">
        <f t="shared" si="4"/>
        <v>0</v>
      </c>
    </row>
    <row r="21" spans="1:7" x14ac:dyDescent="0.45">
      <c r="A21" s="30">
        <v>24000</v>
      </c>
      <c r="B21" s="30">
        <v>32000</v>
      </c>
      <c r="C21" s="30">
        <f t="shared" si="0"/>
        <v>8000</v>
      </c>
      <c r="D21" s="3">
        <f t="shared" si="1"/>
        <v>8000</v>
      </c>
      <c r="E21" s="3">
        <f t="shared" si="2"/>
        <v>14</v>
      </c>
      <c r="F21" s="26">
        <f t="shared" si="3"/>
        <v>14</v>
      </c>
      <c r="G21" s="26">
        <f t="shared" si="4"/>
        <v>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836E4-930C-4BA7-B110-C35613F665CD}">
  <dimension ref="A1:C13"/>
  <sheetViews>
    <sheetView showGridLines="0" zoomScale="85" zoomScaleNormal="85" workbookViewId="0"/>
  </sheetViews>
  <sheetFormatPr defaultRowHeight="18" x14ac:dyDescent="0.45"/>
  <cols>
    <col min="1" max="1" width="18.8984375" bestFit="1" customWidth="1"/>
  </cols>
  <sheetData>
    <row r="1" spans="1:3" x14ac:dyDescent="0.45">
      <c r="A1" s="10" t="s">
        <v>28</v>
      </c>
      <c r="B1" s="52" t="s">
        <v>43</v>
      </c>
      <c r="C1" s="22">
        <v>100</v>
      </c>
    </row>
    <row r="2" spans="1:3" x14ac:dyDescent="0.45">
      <c r="A2" s="11" t="s">
        <v>44</v>
      </c>
      <c r="B2" s="53" t="s">
        <v>45</v>
      </c>
      <c r="C2" s="38">
        <v>7</v>
      </c>
    </row>
    <row r="3" spans="1:3" x14ac:dyDescent="0.45">
      <c r="A3" s="11" t="s">
        <v>46</v>
      </c>
      <c r="B3" s="54" t="s">
        <v>47</v>
      </c>
      <c r="C3" s="38">
        <f>C1-C2</f>
        <v>93</v>
      </c>
    </row>
    <row r="4" spans="1:3" x14ac:dyDescent="0.45">
      <c r="A4" s="11" t="s">
        <v>48</v>
      </c>
      <c r="B4" s="55" t="s">
        <v>49</v>
      </c>
      <c r="C4" s="38">
        <f>C2/C1</f>
        <v>7.0000000000000007E-2</v>
      </c>
    </row>
    <row r="5" spans="1:3" x14ac:dyDescent="0.45">
      <c r="A5" s="11" t="s">
        <v>50</v>
      </c>
      <c r="B5" s="55" t="s">
        <v>51</v>
      </c>
      <c r="C5" s="38">
        <v>0.15</v>
      </c>
    </row>
    <row r="6" spans="1:3" x14ac:dyDescent="0.45">
      <c r="A6" s="11" t="s">
        <v>52</v>
      </c>
      <c r="B6" s="55" t="s">
        <v>53</v>
      </c>
      <c r="C6" s="38">
        <v>0.05</v>
      </c>
    </row>
    <row r="7" spans="1:3" x14ac:dyDescent="0.45">
      <c r="A7" s="11" t="s">
        <v>54</v>
      </c>
      <c r="B7" s="54" t="s">
        <v>55</v>
      </c>
      <c r="C7" s="51">
        <f>1-BINOMDIST(C2,C1,C5,1)</f>
        <v>0.98783480809383284</v>
      </c>
    </row>
    <row r="8" spans="1:3" x14ac:dyDescent="0.45">
      <c r="A8" s="11" t="s">
        <v>54</v>
      </c>
      <c r="B8" s="54" t="s">
        <v>56</v>
      </c>
      <c r="C8" s="51">
        <f>BINOMDIST(C2,C1,C5,0)</f>
        <v>7.4631825539909977E-3</v>
      </c>
    </row>
    <row r="9" spans="1:3" x14ac:dyDescent="0.45">
      <c r="A9" s="12" t="s">
        <v>54</v>
      </c>
      <c r="B9" s="56" t="s">
        <v>57</v>
      </c>
      <c r="C9" s="43">
        <f>BINOMDIST(C2-1,C1,C5,1)</f>
        <v>4.7020093521760896E-3</v>
      </c>
    </row>
    <row r="10" spans="1:3" x14ac:dyDescent="0.45">
      <c r="B10" s="1"/>
    </row>
    <row r="11" spans="1:3" x14ac:dyDescent="0.45">
      <c r="A11" s="10" t="s">
        <v>58</v>
      </c>
      <c r="B11" s="57" t="s">
        <v>59</v>
      </c>
      <c r="C11" s="42">
        <f>IF(C7&lt;C9,(C7+C8)*2,(C9+C8)*2)</f>
        <v>2.4330383812334176E-2</v>
      </c>
    </row>
    <row r="12" spans="1:3" x14ac:dyDescent="0.45">
      <c r="A12" s="11" t="s">
        <v>60</v>
      </c>
      <c r="B12" s="54" t="s">
        <v>59</v>
      </c>
      <c r="C12" s="51">
        <f>C7+C8</f>
        <v>0.99529799064782387</v>
      </c>
    </row>
    <row r="13" spans="1:3" x14ac:dyDescent="0.45">
      <c r="A13" s="12" t="s">
        <v>61</v>
      </c>
      <c r="B13" s="56" t="s">
        <v>59</v>
      </c>
      <c r="C13" s="43">
        <f>C8+C9</f>
        <v>1.2165191906167088E-2</v>
      </c>
    </row>
  </sheetData>
  <phoneticPr fontId="2"/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D4ECC-AC3B-424C-8343-1A5FED0C5BE5}">
  <dimension ref="A1:C14"/>
  <sheetViews>
    <sheetView showGridLines="0" zoomScale="85" zoomScaleNormal="85" workbookViewId="0"/>
  </sheetViews>
  <sheetFormatPr defaultRowHeight="18" x14ac:dyDescent="0.45"/>
  <cols>
    <col min="1" max="1" width="18.8984375" bestFit="1" customWidth="1"/>
    <col min="2" max="2" width="12.59765625" bestFit="1" customWidth="1"/>
  </cols>
  <sheetData>
    <row r="1" spans="1:3" x14ac:dyDescent="0.45">
      <c r="A1" s="10" t="s">
        <v>28</v>
      </c>
      <c r="B1" s="52" t="s">
        <v>43</v>
      </c>
      <c r="C1" s="22">
        <v>100</v>
      </c>
    </row>
    <row r="2" spans="1:3" x14ac:dyDescent="0.45">
      <c r="A2" s="11" t="s">
        <v>44</v>
      </c>
      <c r="B2" s="53" t="s">
        <v>45</v>
      </c>
      <c r="C2" s="38">
        <v>7</v>
      </c>
    </row>
    <row r="3" spans="1:3" x14ac:dyDescent="0.45">
      <c r="A3" s="61" t="s">
        <v>46</v>
      </c>
      <c r="B3" s="62" t="s">
        <v>62</v>
      </c>
      <c r="C3" s="63">
        <f>C1-C2</f>
        <v>93</v>
      </c>
    </row>
    <row r="4" spans="1:3" x14ac:dyDescent="0.45">
      <c r="A4" s="61" t="s">
        <v>48</v>
      </c>
      <c r="B4" s="64" t="s">
        <v>63</v>
      </c>
      <c r="C4" s="63">
        <f>C2/C1</f>
        <v>7.0000000000000007E-2</v>
      </c>
    </row>
    <row r="5" spans="1:3" x14ac:dyDescent="0.45">
      <c r="A5" s="61" t="s">
        <v>64</v>
      </c>
      <c r="B5" s="65" t="s">
        <v>65</v>
      </c>
      <c r="C5" s="63">
        <v>0.95</v>
      </c>
    </row>
    <row r="6" spans="1:3" x14ac:dyDescent="0.45">
      <c r="A6" s="61" t="s">
        <v>66</v>
      </c>
      <c r="B6" s="66" t="s">
        <v>67</v>
      </c>
      <c r="C6" s="63">
        <f>2*(C3+1)</f>
        <v>188</v>
      </c>
    </row>
    <row r="7" spans="1:3" x14ac:dyDescent="0.45">
      <c r="A7" s="61" t="s">
        <v>68</v>
      </c>
      <c r="B7" s="66" t="s">
        <v>69</v>
      </c>
      <c r="C7" s="67">
        <f>2*C2</f>
        <v>14</v>
      </c>
    </row>
    <row r="8" spans="1:3" x14ac:dyDescent="0.45">
      <c r="A8" s="61" t="s">
        <v>70</v>
      </c>
      <c r="B8" s="62" t="s">
        <v>71</v>
      </c>
      <c r="C8" s="68">
        <f>FINV((1-C5)/2,C6,C7)</f>
        <v>2.5288296948023463</v>
      </c>
    </row>
    <row r="9" spans="1:3" x14ac:dyDescent="0.45">
      <c r="A9" s="61" t="s">
        <v>66</v>
      </c>
      <c r="B9" s="66" t="s">
        <v>72</v>
      </c>
      <c r="C9" s="67">
        <f>2*(C2+1)</f>
        <v>16</v>
      </c>
    </row>
    <row r="10" spans="1:3" x14ac:dyDescent="0.45">
      <c r="A10" s="61" t="s">
        <v>68</v>
      </c>
      <c r="B10" s="66" t="s">
        <v>73</v>
      </c>
      <c r="C10" s="63">
        <f>2*(C1-C2)</f>
        <v>186</v>
      </c>
    </row>
    <row r="11" spans="1:3" x14ac:dyDescent="0.45">
      <c r="A11" s="69" t="s">
        <v>70</v>
      </c>
      <c r="B11" s="70" t="s">
        <v>74</v>
      </c>
      <c r="C11" s="71">
        <f>FINV((1-C5)/2,C9,C10)</f>
        <v>1.8754835021400829</v>
      </c>
    </row>
    <row r="12" spans="1:3" x14ac:dyDescent="0.45">
      <c r="A12" s="58"/>
      <c r="B12" s="59"/>
      <c r="C12" s="60"/>
    </row>
    <row r="13" spans="1:3" x14ac:dyDescent="0.45">
      <c r="A13" s="72" t="s">
        <v>75</v>
      </c>
      <c r="B13" s="73" t="s">
        <v>76</v>
      </c>
      <c r="C13" s="74">
        <f>C9*C11/(C9*C11+C10)</f>
        <v>0.13891972845585737</v>
      </c>
    </row>
    <row r="14" spans="1:3" x14ac:dyDescent="0.45">
      <c r="A14" s="69" t="s">
        <v>77</v>
      </c>
      <c r="B14" s="75" t="s">
        <v>78</v>
      </c>
      <c r="C14" s="71">
        <f>C7/(C6*C8+C7)</f>
        <v>2.8605288907438704E-2</v>
      </c>
    </row>
  </sheetData>
  <phoneticPr fontId="2"/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65270-A234-4518-A9EA-298D8F8B7397}">
  <dimension ref="A1:D15"/>
  <sheetViews>
    <sheetView showGridLines="0" zoomScale="85" zoomScaleNormal="85" workbookViewId="0"/>
  </sheetViews>
  <sheetFormatPr defaultRowHeight="18" x14ac:dyDescent="0.45"/>
  <cols>
    <col min="1" max="1" width="18.8984375" bestFit="1" customWidth="1"/>
    <col min="3" max="3" width="9" customWidth="1"/>
  </cols>
  <sheetData>
    <row r="1" spans="1:4" x14ac:dyDescent="0.45">
      <c r="A1" s="17"/>
      <c r="B1" s="77"/>
      <c r="C1" s="46" t="s">
        <v>79</v>
      </c>
      <c r="D1" s="40" t="s">
        <v>80</v>
      </c>
    </row>
    <row r="2" spans="1:4" x14ac:dyDescent="0.45">
      <c r="A2" s="11" t="s">
        <v>28</v>
      </c>
      <c r="B2" s="53" t="s">
        <v>43</v>
      </c>
      <c r="C2" s="11">
        <v>50</v>
      </c>
      <c r="D2" s="38">
        <v>60</v>
      </c>
    </row>
    <row r="3" spans="1:4" x14ac:dyDescent="0.45">
      <c r="A3" s="11" t="s">
        <v>44</v>
      </c>
      <c r="B3" s="53" t="s">
        <v>45</v>
      </c>
      <c r="C3" s="11">
        <v>18</v>
      </c>
      <c r="D3" s="38">
        <v>11</v>
      </c>
    </row>
    <row r="4" spans="1:4" x14ac:dyDescent="0.45">
      <c r="A4" s="61" t="s">
        <v>46</v>
      </c>
      <c r="B4" s="62" t="s">
        <v>62</v>
      </c>
      <c r="C4" s="11">
        <f>C2-C3</f>
        <v>32</v>
      </c>
      <c r="D4" s="38">
        <f>D2-D3</f>
        <v>49</v>
      </c>
    </row>
    <row r="5" spans="1:4" x14ac:dyDescent="0.45">
      <c r="A5" s="69" t="s">
        <v>48</v>
      </c>
      <c r="B5" s="75" t="s">
        <v>63</v>
      </c>
      <c r="C5" s="78">
        <f>C3/C2</f>
        <v>0.36</v>
      </c>
      <c r="D5" s="23">
        <f>D3/D2</f>
        <v>0.18333333333333332</v>
      </c>
    </row>
    <row r="6" spans="1:4" x14ac:dyDescent="0.45">
      <c r="A6" s="10" t="s">
        <v>81</v>
      </c>
      <c r="B6" s="76"/>
      <c r="C6" s="80">
        <f>(C3+D3)/(C2+D2)</f>
        <v>0.26363636363636361</v>
      </c>
      <c r="D6" s="22"/>
    </row>
    <row r="7" spans="1:4" x14ac:dyDescent="0.45">
      <c r="A7" s="11" t="s">
        <v>82</v>
      </c>
      <c r="B7" s="64" t="s">
        <v>83</v>
      </c>
      <c r="C7" s="81">
        <f>C5-D5</f>
        <v>0.17666666666666667</v>
      </c>
      <c r="D7" s="38"/>
    </row>
    <row r="8" spans="1:4" x14ac:dyDescent="0.45">
      <c r="A8" s="11" t="s">
        <v>84</v>
      </c>
      <c r="B8" s="66" t="s">
        <v>53</v>
      </c>
      <c r="C8" s="11">
        <v>0.05</v>
      </c>
      <c r="D8" s="38"/>
    </row>
    <row r="9" spans="1:4" x14ac:dyDescent="0.45">
      <c r="A9" s="11" t="s">
        <v>23</v>
      </c>
      <c r="B9" s="54" t="s">
        <v>85</v>
      </c>
      <c r="C9" s="81">
        <f>(C5-D5)/SQRT(C6*(1-C6)*(1/C2+1/D2))</f>
        <v>2.0939681731996811</v>
      </c>
      <c r="D9" s="38"/>
    </row>
    <row r="10" spans="1:4" x14ac:dyDescent="0.45">
      <c r="A10" s="11" t="s">
        <v>86</v>
      </c>
      <c r="B10" s="62" t="s">
        <v>87</v>
      </c>
      <c r="C10" s="81">
        <f>NORMSINV(1-C8/2)</f>
        <v>1.9599639845400536</v>
      </c>
      <c r="D10" s="38"/>
    </row>
    <row r="11" spans="1:4" x14ac:dyDescent="0.45">
      <c r="A11" s="11" t="s">
        <v>88</v>
      </c>
      <c r="B11" s="62" t="s">
        <v>89</v>
      </c>
      <c r="C11" s="81">
        <f>NORMSINV(1-C8)</f>
        <v>1.6448536269514715</v>
      </c>
      <c r="D11" s="38"/>
    </row>
    <row r="12" spans="1:4" x14ac:dyDescent="0.45">
      <c r="A12" s="11" t="s">
        <v>90</v>
      </c>
      <c r="B12" s="62" t="s">
        <v>91</v>
      </c>
      <c r="C12" s="81">
        <f>NORMSINV(C8)</f>
        <v>-1.6448536269514726</v>
      </c>
      <c r="D12" s="38"/>
    </row>
    <row r="13" spans="1:4" x14ac:dyDescent="0.45">
      <c r="A13" s="11" t="s">
        <v>58</v>
      </c>
      <c r="B13" s="54" t="s">
        <v>59</v>
      </c>
      <c r="C13" s="81">
        <f>(1-NORMSDIST(ABS(C9)))*2</f>
        <v>3.6262815507423163E-2</v>
      </c>
      <c r="D13" s="38"/>
    </row>
    <row r="14" spans="1:4" x14ac:dyDescent="0.45">
      <c r="A14" s="11" t="s">
        <v>92</v>
      </c>
      <c r="B14" s="54" t="s">
        <v>59</v>
      </c>
      <c r="C14" s="81">
        <f>1-NORMSDIST(C9)</f>
        <v>1.8131407753711581E-2</v>
      </c>
      <c r="D14" s="38"/>
    </row>
    <row r="15" spans="1:4" x14ac:dyDescent="0.45">
      <c r="A15" s="12" t="s">
        <v>93</v>
      </c>
      <c r="B15" s="56" t="s">
        <v>59</v>
      </c>
      <c r="C15" s="82">
        <f>NORMSDIST(C9)</f>
        <v>0.98186859224628842</v>
      </c>
      <c r="D15" s="23"/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3FF43-5661-4042-9AB0-D04FECC45CB4}">
  <dimension ref="A1:D18"/>
  <sheetViews>
    <sheetView showGridLines="0" zoomScale="85" zoomScaleNormal="85" workbookViewId="0"/>
  </sheetViews>
  <sheetFormatPr defaultRowHeight="18" x14ac:dyDescent="0.45"/>
  <cols>
    <col min="1" max="1" width="18.8984375" bestFit="1" customWidth="1"/>
    <col min="3" max="3" width="9" customWidth="1"/>
  </cols>
  <sheetData>
    <row r="1" spans="1:4" x14ac:dyDescent="0.45">
      <c r="A1" s="17"/>
      <c r="B1" s="77"/>
      <c r="C1" s="46" t="s">
        <v>79</v>
      </c>
      <c r="D1" s="40" t="s">
        <v>80</v>
      </c>
    </row>
    <row r="2" spans="1:4" x14ac:dyDescent="0.45">
      <c r="A2" s="11" t="s">
        <v>28</v>
      </c>
      <c r="B2" s="53" t="s">
        <v>43</v>
      </c>
      <c r="C2" s="11">
        <v>50</v>
      </c>
      <c r="D2" s="38">
        <v>60</v>
      </c>
    </row>
    <row r="3" spans="1:4" x14ac:dyDescent="0.45">
      <c r="A3" s="11" t="s">
        <v>44</v>
      </c>
      <c r="B3" s="53" t="s">
        <v>45</v>
      </c>
      <c r="C3" s="11">
        <v>18</v>
      </c>
      <c r="D3" s="38">
        <v>11</v>
      </c>
    </row>
    <row r="4" spans="1:4" x14ac:dyDescent="0.45">
      <c r="A4" s="61" t="s">
        <v>46</v>
      </c>
      <c r="B4" s="62" t="s">
        <v>62</v>
      </c>
      <c r="C4" s="11">
        <f>C2-C3</f>
        <v>32</v>
      </c>
      <c r="D4" s="38">
        <f>D2-D3</f>
        <v>49</v>
      </c>
    </row>
    <row r="5" spans="1:4" x14ac:dyDescent="0.45">
      <c r="A5" s="69" t="s">
        <v>48</v>
      </c>
      <c r="B5" s="75" t="s">
        <v>63</v>
      </c>
      <c r="C5" s="78">
        <f>C3/C2</f>
        <v>0.36</v>
      </c>
      <c r="D5" s="23">
        <f>D3/D2</f>
        <v>0.18333333333333332</v>
      </c>
    </row>
    <row r="6" spans="1:4" x14ac:dyDescent="0.45">
      <c r="A6" s="10" t="s">
        <v>81</v>
      </c>
      <c r="B6" s="76"/>
      <c r="C6" s="80">
        <f>(C3+D3)/(C2+D2)</f>
        <v>0.26363636363636361</v>
      </c>
      <c r="D6" s="22"/>
    </row>
    <row r="7" spans="1:4" x14ac:dyDescent="0.45">
      <c r="A7" s="11" t="s">
        <v>82</v>
      </c>
      <c r="B7" s="64" t="s">
        <v>83</v>
      </c>
      <c r="C7" s="81">
        <f>C5-D5</f>
        <v>0.17666666666666667</v>
      </c>
      <c r="D7" s="38"/>
    </row>
    <row r="8" spans="1:4" x14ac:dyDescent="0.45">
      <c r="A8" s="11" t="s">
        <v>84</v>
      </c>
      <c r="B8" s="66" t="s">
        <v>53</v>
      </c>
      <c r="C8" s="11">
        <v>0.05</v>
      </c>
      <c r="D8" s="38"/>
    </row>
    <row r="9" spans="1:4" x14ac:dyDescent="0.45">
      <c r="A9" s="11" t="s">
        <v>23</v>
      </c>
      <c r="B9" s="54" t="s">
        <v>85</v>
      </c>
      <c r="C9" s="81">
        <f>(C5-D5)/SQRT(C6*(1-C6)*(1/C2+1/D2))</f>
        <v>2.0939681731996811</v>
      </c>
      <c r="D9" s="38"/>
    </row>
    <row r="10" spans="1:4" x14ac:dyDescent="0.45">
      <c r="A10" s="11" t="s">
        <v>86</v>
      </c>
      <c r="B10" s="62" t="s">
        <v>87</v>
      </c>
      <c r="C10" s="81">
        <f>NORMSINV(1-C8/2)</f>
        <v>1.9599639845400536</v>
      </c>
      <c r="D10" s="38"/>
    </row>
    <row r="11" spans="1:4" x14ac:dyDescent="0.45">
      <c r="A11" s="11" t="s">
        <v>88</v>
      </c>
      <c r="B11" s="62" t="s">
        <v>89</v>
      </c>
      <c r="C11" s="81">
        <f>NORMSINV(1-C8)</f>
        <v>1.6448536269514715</v>
      </c>
      <c r="D11" s="38"/>
    </row>
    <row r="12" spans="1:4" x14ac:dyDescent="0.45">
      <c r="A12" s="11" t="s">
        <v>90</v>
      </c>
      <c r="B12" s="62" t="s">
        <v>91</v>
      </c>
      <c r="C12" s="81">
        <f>NORMSINV(C8)</f>
        <v>-1.6448536269514726</v>
      </c>
      <c r="D12" s="38"/>
    </row>
    <row r="13" spans="1:4" x14ac:dyDescent="0.45">
      <c r="A13" s="11" t="s">
        <v>58</v>
      </c>
      <c r="B13" s="54" t="s">
        <v>59</v>
      </c>
      <c r="C13" s="81">
        <f>(1-NORMSDIST(ABS(C9)))*2</f>
        <v>3.6262815507423163E-2</v>
      </c>
      <c r="D13" s="38"/>
    </row>
    <row r="14" spans="1:4" x14ac:dyDescent="0.45">
      <c r="A14" s="11" t="s">
        <v>92</v>
      </c>
      <c r="B14" s="54" t="s">
        <v>59</v>
      </c>
      <c r="C14" s="81">
        <f>1-NORMSDIST(C9)</f>
        <v>1.8131407753711581E-2</v>
      </c>
      <c r="D14" s="38"/>
    </row>
    <row r="15" spans="1:4" x14ac:dyDescent="0.45">
      <c r="A15" s="12" t="s">
        <v>93</v>
      </c>
      <c r="B15" s="56" t="s">
        <v>59</v>
      </c>
      <c r="C15" s="82">
        <f>NORMSDIST(C9)</f>
        <v>0.98186859224628842</v>
      </c>
      <c r="D15" s="23"/>
    </row>
    <row r="16" spans="1:4" x14ac:dyDescent="0.45">
      <c r="A16" s="11" t="s">
        <v>64</v>
      </c>
      <c r="B16" s="26"/>
      <c r="C16" s="11">
        <v>0.95</v>
      </c>
      <c r="D16" s="38"/>
    </row>
    <row r="17" spans="1:4" x14ac:dyDescent="0.45">
      <c r="A17" s="11" t="s">
        <v>75</v>
      </c>
      <c r="B17" s="26"/>
      <c r="C17" s="81">
        <f>C7+ABS(NORMSINV((1-C16)/2))*SQRT(C5*(1-C5)/C2+D5*(1-D5)/D2)</f>
        <v>0.34185536109191039</v>
      </c>
      <c r="D17" s="38"/>
    </row>
    <row r="18" spans="1:4" x14ac:dyDescent="0.45">
      <c r="A18" s="12" t="s">
        <v>77</v>
      </c>
      <c r="B18" s="79"/>
      <c r="C18" s="82">
        <f>C7-ABS(NORMSINV((1-C16)/2))*SQRT(C5*(1-C5)/C2+D5*(1-D5)/D2)</f>
        <v>1.1477972241422968E-2</v>
      </c>
      <c r="D18" s="23"/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2A6A4-EC80-4B24-B808-7866BE51DFD4}">
  <dimension ref="A1:G13"/>
  <sheetViews>
    <sheetView showGridLines="0" zoomScale="85" zoomScaleNormal="85" workbookViewId="0"/>
  </sheetViews>
  <sheetFormatPr defaultRowHeight="18" x14ac:dyDescent="0.45"/>
  <cols>
    <col min="1" max="1" width="18.8984375" bestFit="1" customWidth="1"/>
    <col min="5" max="5" width="13.19921875" bestFit="1" customWidth="1"/>
  </cols>
  <sheetData>
    <row r="1" spans="1:7" x14ac:dyDescent="0.45">
      <c r="A1" s="10" t="s">
        <v>28</v>
      </c>
      <c r="B1" s="52" t="s">
        <v>43</v>
      </c>
      <c r="C1" s="22">
        <v>200</v>
      </c>
      <c r="E1" s="3"/>
      <c r="F1" s="2" t="s">
        <v>100</v>
      </c>
      <c r="G1" s="2" t="s">
        <v>48</v>
      </c>
    </row>
    <row r="2" spans="1:7" x14ac:dyDescent="0.45">
      <c r="A2" s="11" t="s">
        <v>44</v>
      </c>
      <c r="B2" s="53" t="s">
        <v>45</v>
      </c>
      <c r="C2" s="38">
        <v>110</v>
      </c>
      <c r="E2" s="3" t="s">
        <v>112</v>
      </c>
      <c r="F2" s="3">
        <v>110</v>
      </c>
      <c r="G2" s="3">
        <f>F2/$C$1</f>
        <v>0.55000000000000004</v>
      </c>
    </row>
    <row r="3" spans="1:7" x14ac:dyDescent="0.45">
      <c r="A3" s="11" t="s">
        <v>46</v>
      </c>
      <c r="B3" s="54" t="s">
        <v>47</v>
      </c>
      <c r="C3" s="38">
        <f>C1-C2</f>
        <v>90</v>
      </c>
      <c r="E3" s="3" t="s">
        <v>113</v>
      </c>
      <c r="F3" s="3">
        <v>90</v>
      </c>
      <c r="G3" s="3">
        <f>F3/$C$1</f>
        <v>0.45</v>
      </c>
    </row>
    <row r="4" spans="1:7" x14ac:dyDescent="0.45">
      <c r="A4" s="11" t="s">
        <v>48</v>
      </c>
      <c r="B4" s="55" t="s">
        <v>49</v>
      </c>
      <c r="C4" s="38">
        <f>C2/C1</f>
        <v>0.55000000000000004</v>
      </c>
    </row>
    <row r="5" spans="1:7" x14ac:dyDescent="0.45">
      <c r="A5" s="11" t="s">
        <v>50</v>
      </c>
      <c r="B5" s="55" t="s">
        <v>51</v>
      </c>
      <c r="C5" s="38">
        <v>0.5</v>
      </c>
    </row>
    <row r="6" spans="1:7" x14ac:dyDescent="0.45">
      <c r="A6" s="11" t="s">
        <v>52</v>
      </c>
      <c r="B6" s="55" t="s">
        <v>53</v>
      </c>
      <c r="C6" s="38">
        <v>0.05</v>
      </c>
    </row>
    <row r="7" spans="1:7" x14ac:dyDescent="0.45">
      <c r="A7" s="11" t="s">
        <v>54</v>
      </c>
      <c r="B7" s="54" t="s">
        <v>55</v>
      </c>
      <c r="C7" s="51">
        <f>1-BINOMDIST(C2,C1,C5,1)</f>
        <v>6.8683325434315323E-2</v>
      </c>
    </row>
    <row r="8" spans="1:7" x14ac:dyDescent="0.45">
      <c r="A8" s="11" t="s">
        <v>54</v>
      </c>
      <c r="B8" s="54" t="s">
        <v>56</v>
      </c>
      <c r="C8" s="51">
        <f>BINOMDIST(C2,C1,C5,0)</f>
        <v>2.0798694332310325E-2</v>
      </c>
    </row>
    <row r="9" spans="1:7" x14ac:dyDescent="0.45">
      <c r="A9" s="12" t="s">
        <v>54</v>
      </c>
      <c r="B9" s="56" t="s">
        <v>57</v>
      </c>
      <c r="C9" s="43">
        <f>BINOMDIST(C2-1,C1,C5,1)</f>
        <v>0.9105179802333746</v>
      </c>
    </row>
    <row r="10" spans="1:7" x14ac:dyDescent="0.45">
      <c r="B10" s="1"/>
    </row>
    <row r="11" spans="1:7" x14ac:dyDescent="0.45">
      <c r="A11" s="10" t="s">
        <v>58</v>
      </c>
      <c r="B11" s="57" t="s">
        <v>59</v>
      </c>
      <c r="C11" s="42">
        <f>IF(C7&lt;C9,(C7+C8)*2,(C9+C8)*2)</f>
        <v>0.1789640395332513</v>
      </c>
    </row>
    <row r="12" spans="1:7" x14ac:dyDescent="0.45">
      <c r="A12" s="11" t="s">
        <v>60</v>
      </c>
      <c r="B12" s="54" t="s">
        <v>59</v>
      </c>
      <c r="C12" s="51">
        <f>C7+C8</f>
        <v>8.9482019766625648E-2</v>
      </c>
    </row>
    <row r="13" spans="1:7" x14ac:dyDescent="0.45">
      <c r="A13" s="12" t="s">
        <v>61</v>
      </c>
      <c r="B13" s="56" t="s">
        <v>59</v>
      </c>
      <c r="C13" s="43">
        <f>C8+C9</f>
        <v>0.9313166745656849</v>
      </c>
    </row>
  </sheetData>
  <phoneticPr fontId="2"/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例題4-1(ｔ検定)</vt:lpstr>
      <vt:lpstr>例題4-1(Wilcoxonの順位和検定)</vt:lpstr>
      <vt:lpstr>例題4-2(対応のあるｔ検定)</vt:lpstr>
      <vt:lpstr>例題4-2(Wilcoxonの符号付順位検定)</vt:lpstr>
      <vt:lpstr>例題4-3</vt:lpstr>
      <vt:lpstr>例題4-4</vt:lpstr>
      <vt:lpstr>例題4-5</vt:lpstr>
      <vt:lpstr>例題4-6</vt:lpstr>
      <vt:lpstr>例題4-7</vt:lpstr>
      <vt:lpstr>例題4-8</vt:lpstr>
      <vt:lpstr>例題4-9</vt:lpstr>
      <vt:lpstr>例題4-10</vt:lpstr>
      <vt:lpstr>例題4-11</vt:lpstr>
      <vt:lpstr>(参考)Fisherの直接確率</vt:lpstr>
      <vt:lpstr>例題4-12(McNemar検定)</vt:lpstr>
      <vt:lpstr>例題4-12(二項検定)</vt:lpstr>
      <vt:lpstr>例題4-13</vt:lpstr>
      <vt:lpstr>例題4-14(2×M分割表)</vt:lpstr>
      <vt:lpstr>例題4-14(L×M分割表)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tuis tuis</dc:creator>
  <cp:lastModifiedBy>tuis tuis</cp:lastModifiedBy>
  <dcterms:created xsi:type="dcterms:W3CDTF">2020-05-20T00:23:47Z</dcterms:created>
  <dcterms:modified xsi:type="dcterms:W3CDTF">2020-05-20T19:50:25Z</dcterms:modified>
</cp:coreProperties>
</file>